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trimestri (2)" sheetId="1" r:id="rId1"/>
    <sheet name="2017 initial" sheetId="2" r:id="rId2"/>
  </sheets>
  <definedNames/>
  <calcPr fullCalcOnLoad="1"/>
</workbook>
</file>

<file path=xl/sharedStrings.xml><?xml version="1.0" encoding="utf-8"?>
<sst xmlns="http://schemas.openxmlformats.org/spreadsheetml/2006/main" count="133" uniqueCount="77">
  <si>
    <t>SLA</t>
  </si>
  <si>
    <t>CASA DE ASIGURARI DE SANATATE BRAILA</t>
  </si>
  <si>
    <t>PROGRAM</t>
  </si>
  <si>
    <t>TIP alocare</t>
  </si>
  <si>
    <t>SPITAL</t>
  </si>
  <si>
    <t>FARMACII</t>
  </si>
  <si>
    <t>TOTAL ONCOLOGIE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</si>
  <si>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</si>
  <si>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</si>
  <si>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</si>
  <si>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</si>
  <si>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</si>
  <si>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</si>
  <si>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</si>
  <si>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</si>
  <si>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</si>
  <si>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</si>
  <si>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</si>
  <si>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</si>
  <si>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</si>
  <si>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</si>
  <si>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</si>
  <si>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 xml:space="preserve">PNS pt FARMACII = </t>
  </si>
  <si>
    <t>TOTAL GENERAL P.N.S.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</si>
  <si>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</si>
  <si>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</si>
  <si>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</si>
  <si>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</si>
  <si>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</si>
  <si>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</si>
  <si>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</si>
  <si>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</si>
  <si>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 xml:space="preserve">MEDICAMENTE *) = </t>
  </si>
  <si>
    <t>Boala HUNTER - SPITAL</t>
  </si>
  <si>
    <t>Sindrom Prader Willi</t>
  </si>
  <si>
    <t>PNS ctr 1724 SPITAL JUDETEAN =</t>
  </si>
  <si>
    <t>COST-VOLUM - farmacii</t>
  </si>
  <si>
    <t>CONSUM IAN</t>
  </si>
  <si>
    <t>INTRARI IAN</t>
  </si>
  <si>
    <t>PLATI la spitale IAN</t>
  </si>
  <si>
    <t>BOLI RARE</t>
  </si>
  <si>
    <t>SITUATIA SUMELOR DISTRIBUITE PE PROGRAME DE SANATATE CURATIVE - TRIMESTRUL I 2017</t>
  </si>
  <si>
    <t>CREDIT ANGAJAMENT TRIM I 2017 (sume contractate)</t>
  </si>
  <si>
    <t>Hemofilie + talasemie</t>
  </si>
  <si>
    <t>RADIOTERAPIE *) - SPITAL JUDETEAN</t>
  </si>
  <si>
    <t>HEMOGLOBINA glicozilata *) - DR. VARZARU</t>
  </si>
  <si>
    <t>Program national de supleere a functiei renale la bolnavii cu insuficienta renala cronica*) - TOTAL</t>
  </si>
  <si>
    <t>*) NOTA: suma de la DIALIZA, RADIOTERAPIE si HEMOGLOBINA glicozilata nu este adunata la TOTAL MEDICAMENTE PNS</t>
  </si>
  <si>
    <t xml:space="preserve">PNS+RADIOTERAPIE pt SPITAL = </t>
  </si>
  <si>
    <t>ANEXA</t>
  </si>
  <si>
    <t>MEDIE lunara consum dupa realizarile din 11 luni - AN 2016</t>
  </si>
  <si>
    <t>medie lunara AN 2016</t>
  </si>
  <si>
    <t>In stoc la 01.01.2017</t>
  </si>
  <si>
    <t>CONSUM FEB</t>
  </si>
  <si>
    <t>INTRARI FEB</t>
  </si>
  <si>
    <t>PLATI la spitale FEB</t>
  </si>
  <si>
    <t>MUCOVISCIDOZA adulti</t>
  </si>
  <si>
    <t>CA pt SPITALE 2016 (suma ramasa neutilizata)</t>
  </si>
  <si>
    <t>REST credit de angajament pt FARMACII 2016</t>
  </si>
  <si>
    <t>In stoc la 28.02.2017</t>
  </si>
  <si>
    <t>ART8 dupa an 2016</t>
  </si>
  <si>
    <t>CONSUM MAR</t>
  </si>
  <si>
    <t>INTRARI MAR</t>
  </si>
  <si>
    <t>PLATI la spitale MAR</t>
  </si>
  <si>
    <t>PLATI la spitale TRIM 1 2017</t>
  </si>
  <si>
    <t>APR contractat</t>
  </si>
  <si>
    <t>IAN-APR contractat</t>
  </si>
  <si>
    <t>SITUATIA SUMELOR DISTRIBUITE PE PROGRAME DE SANATATE CURATIVE , pe TRIMESTRE - AN 2017</t>
  </si>
  <si>
    <t>CREDIT DE ANGAJAMENT AN 2017</t>
  </si>
  <si>
    <t>Propunere CA - TRIM II 2017</t>
  </si>
  <si>
    <t>Propunere CA - TRIM III 2017</t>
  </si>
  <si>
    <t>Propunere CA - TRIM IV 2017</t>
  </si>
  <si>
    <t>TOTAL ONCOLOGIE (fara CV)</t>
  </si>
  <si>
    <t>CONSUM IAN+FEB 2017</t>
  </si>
  <si>
    <t>INTRARI IAN+FEB 2017</t>
  </si>
  <si>
    <t>Program national de supleere a functiei renale la bolnavii cu insuficienta renala cronica*)</t>
  </si>
  <si>
    <t xml:space="preserve">MEDICAMENTE (fara CV) =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</si>
</sst>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11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1" fillId="0" borderId="6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wrapText="1"/>
    </xf>
    <xf numFmtId="4" fontId="4" fillId="0" borderId="9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vertical="center" wrapText="1"/>
    </xf>
    <xf numFmtId="4" fontId="1" fillId="3" borderId="10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 wrapText="1"/>
    </xf>
    <xf numFmtId="4" fontId="4" fillId="3" borderId="11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4" fontId="4" fillId="5" borderId="17" xfId="0" applyNumberFormat="1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1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0" fillId="0" borderId="2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0" fillId="0" borderId="27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4" fillId="5" borderId="3" xfId="0" applyNumberFormat="1" applyFont="1" applyFill="1" applyBorder="1" applyAlignment="1">
      <alignment vertical="center" wrapText="1"/>
    </xf>
    <xf numFmtId="4" fontId="4" fillId="4" borderId="28" xfId="0" applyNumberFormat="1" applyFont="1" applyFill="1" applyBorder="1" applyAlignment="1">
      <alignment horizontal="center" vertical="center" wrapText="1"/>
    </xf>
    <xf numFmtId="4" fontId="4" fillId="4" borderId="29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vertical="center" wrapText="1"/>
    </xf>
    <xf numFmtId="4" fontId="0" fillId="0" borderId="31" xfId="0" applyNumberFormat="1" applyFill="1" applyBorder="1" applyAlignment="1">
      <alignment vertic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4" fillId="0" borderId="0" xfId="0" applyNumberFormat="1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vertical="center"/>
    </xf>
    <xf numFmtId="4" fontId="4" fillId="2" borderId="38" xfId="0" applyNumberFormat="1" applyFont="1" applyFill="1" applyBorder="1" applyAlignment="1">
      <alignment vertical="center"/>
    </xf>
    <xf numFmtId="4" fontId="4" fillId="6" borderId="39" xfId="0" applyNumberFormat="1" applyFont="1" applyFill="1" applyBorder="1" applyAlignment="1">
      <alignment horizontal="left" vertical="center"/>
    </xf>
    <xf numFmtId="4" fontId="0" fillId="7" borderId="17" xfId="0" applyNumberFormat="1" applyFont="1" applyFill="1" applyBorder="1" applyAlignment="1">
      <alignment/>
    </xf>
    <xf numFmtId="4" fontId="0" fillId="0" borderId="40" xfId="0" applyNumberFormat="1" applyFill="1" applyBorder="1" applyAlignment="1">
      <alignment vertical="center"/>
    </xf>
    <xf numFmtId="4" fontId="4" fillId="2" borderId="41" xfId="0" applyNumberFormat="1" applyFon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43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4" fillId="2" borderId="28" xfId="0" applyNumberFormat="1" applyFon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4" xfId="0" applyNumberForma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vertical="center" wrapText="1"/>
    </xf>
    <xf numFmtId="4" fontId="1" fillId="0" borderId="45" xfId="0" applyNumberFormat="1" applyFont="1" applyFill="1" applyBorder="1" applyAlignment="1">
      <alignment vertical="center" wrapText="1"/>
    </xf>
    <xf numFmtId="4" fontId="1" fillId="0" borderId="46" xfId="0" applyNumberFormat="1" applyFont="1" applyFill="1" applyBorder="1" applyAlignment="1">
      <alignment vertical="center" wrapText="1"/>
    </xf>
    <xf numFmtId="4" fontId="1" fillId="3" borderId="27" xfId="0" applyNumberFormat="1" applyFont="1" applyFill="1" applyBorder="1" applyAlignment="1">
      <alignment vertical="center" wrapText="1"/>
    </xf>
    <xf numFmtId="4" fontId="1" fillId="3" borderId="28" xfId="0" applyNumberFormat="1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4" fontId="0" fillId="0" borderId="47" xfId="0" applyNumberFormat="1" applyFill="1" applyBorder="1" applyAlignment="1">
      <alignment vertical="center"/>
    </xf>
    <xf numFmtId="4" fontId="5" fillId="4" borderId="2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1" fillId="5" borderId="27" xfId="0" applyNumberFormat="1" applyFont="1" applyFill="1" applyBorder="1" applyAlignment="1">
      <alignment vertical="center" wrapText="1"/>
    </xf>
    <xf numFmtId="4" fontId="1" fillId="5" borderId="12" xfId="0" applyNumberFormat="1" applyFont="1" applyFill="1" applyBorder="1" applyAlignment="1">
      <alignment vertical="center" wrapText="1"/>
    </xf>
    <xf numFmtId="4" fontId="1" fillId="5" borderId="11" xfId="0" applyNumberFormat="1" applyFont="1" applyFill="1" applyBorder="1" applyAlignment="1">
      <alignment vertical="center" wrapText="1"/>
    </xf>
    <xf numFmtId="4" fontId="1" fillId="5" borderId="6" xfId="0" applyNumberFormat="1" applyFont="1" applyFill="1" applyBorder="1" applyAlignment="1">
      <alignment vertical="center" wrapText="1"/>
    </xf>
    <xf numFmtId="4" fontId="1" fillId="5" borderId="10" xfId="0" applyNumberFormat="1" applyFont="1" applyFill="1" applyBorder="1" applyAlignment="1">
      <alignment vertical="center" wrapText="1"/>
    </xf>
    <xf numFmtId="4" fontId="4" fillId="5" borderId="6" xfId="0" applyNumberFormat="1" applyFont="1" applyFill="1" applyBorder="1" applyAlignment="1">
      <alignment vertical="center" wrapText="1"/>
    </xf>
    <xf numFmtId="4" fontId="4" fillId="5" borderId="11" xfId="0" applyNumberFormat="1" applyFont="1" applyFill="1" applyBorder="1" applyAlignment="1">
      <alignment vertical="center" wrapText="1"/>
    </xf>
    <xf numFmtId="4" fontId="4" fillId="5" borderId="47" xfId="0" applyNumberFormat="1" applyFont="1" applyFill="1" applyBorder="1" applyAlignment="1">
      <alignment vertical="center" wrapText="1"/>
    </xf>
    <xf numFmtId="4" fontId="4" fillId="5" borderId="41" xfId="0" applyNumberFormat="1" applyFont="1" applyFill="1" applyBorder="1" applyAlignment="1">
      <alignment vertical="center" wrapText="1"/>
    </xf>
    <xf numFmtId="4" fontId="1" fillId="5" borderId="48" xfId="0" applyNumberFormat="1" applyFont="1" applyFill="1" applyBorder="1" applyAlignment="1">
      <alignment horizontal="right" vertical="center" wrapText="1"/>
    </xf>
    <xf numFmtId="4" fontId="1" fillId="5" borderId="47" xfId="0" applyNumberFormat="1" applyFont="1" applyFill="1" applyBorder="1" applyAlignment="1">
      <alignment horizontal="right" vertical="center" wrapText="1"/>
    </xf>
    <xf numFmtId="4" fontId="1" fillId="5" borderId="28" xfId="0" applyNumberFormat="1" applyFont="1" applyFill="1" applyBorder="1" applyAlignment="1">
      <alignment horizontal="right" vertical="center" wrapText="1"/>
    </xf>
    <xf numFmtId="4" fontId="0" fillId="0" borderId="38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1" fillId="5" borderId="46" xfId="0" applyNumberFormat="1" applyFon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0" fontId="4" fillId="8" borderId="41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wrapText="1"/>
    </xf>
    <xf numFmtId="4" fontId="4" fillId="0" borderId="30" xfId="0" applyNumberFormat="1" applyFont="1" applyFill="1" applyBorder="1" applyAlignment="1">
      <alignment vertical="center" wrapText="1"/>
    </xf>
    <xf numFmtId="4" fontId="1" fillId="8" borderId="27" xfId="0" applyNumberFormat="1" applyFont="1" applyFill="1" applyBorder="1" applyAlignment="1">
      <alignment vertical="center" wrapText="1"/>
    </xf>
    <xf numFmtId="4" fontId="1" fillId="8" borderId="12" xfId="0" applyNumberFormat="1" applyFont="1" applyFill="1" applyBorder="1" applyAlignment="1">
      <alignment vertical="center" wrapText="1"/>
    </xf>
    <xf numFmtId="4" fontId="1" fillId="8" borderId="11" xfId="0" applyNumberFormat="1" applyFont="1" applyFill="1" applyBorder="1" applyAlignment="1">
      <alignment vertical="center" wrapText="1"/>
    </xf>
    <xf numFmtId="4" fontId="4" fillId="8" borderId="3" xfId="0" applyNumberFormat="1" applyFont="1" applyFill="1" applyBorder="1" applyAlignment="1">
      <alignment vertical="center"/>
    </xf>
    <xf numFmtId="4" fontId="1" fillId="8" borderId="6" xfId="0" applyNumberFormat="1" applyFont="1" applyFill="1" applyBorder="1" applyAlignment="1">
      <alignment vertical="center" wrapText="1"/>
    </xf>
    <xf numFmtId="4" fontId="1" fillId="8" borderId="10" xfId="0" applyNumberFormat="1" applyFont="1" applyFill="1" applyBorder="1" applyAlignment="1">
      <alignment vertical="center" wrapText="1"/>
    </xf>
    <xf numFmtId="4" fontId="4" fillId="8" borderId="6" xfId="0" applyNumberFormat="1" applyFont="1" applyFill="1" applyBorder="1" applyAlignment="1">
      <alignment vertical="center" wrapText="1"/>
    </xf>
    <xf numFmtId="4" fontId="4" fillId="8" borderId="11" xfId="0" applyNumberFormat="1" applyFont="1" applyFill="1" applyBorder="1" applyAlignment="1">
      <alignment vertical="center" wrapText="1"/>
    </xf>
    <xf numFmtId="4" fontId="4" fillId="8" borderId="3" xfId="0" applyNumberFormat="1" applyFont="1" applyFill="1" applyBorder="1" applyAlignment="1">
      <alignment vertical="center" wrapText="1"/>
    </xf>
    <xf numFmtId="4" fontId="4" fillId="8" borderId="38" xfId="0" applyNumberFormat="1" applyFont="1" applyFill="1" applyBorder="1" applyAlignment="1">
      <alignment vertical="center"/>
    </xf>
    <xf numFmtId="4" fontId="4" fillId="8" borderId="41" xfId="0" applyNumberFormat="1" applyFont="1" applyFill="1" applyBorder="1" applyAlignment="1">
      <alignment vertical="center" wrapText="1"/>
    </xf>
    <xf numFmtId="4" fontId="1" fillId="8" borderId="48" xfId="0" applyNumberFormat="1" applyFont="1" applyFill="1" applyBorder="1" applyAlignment="1">
      <alignment horizontal="right" vertical="center" wrapText="1"/>
    </xf>
    <xf numFmtId="4" fontId="1" fillId="8" borderId="46" xfId="0" applyNumberFormat="1" applyFont="1" applyFill="1" applyBorder="1" applyAlignment="1">
      <alignment horizontal="right" vertical="center" wrapText="1"/>
    </xf>
    <xf numFmtId="4" fontId="1" fillId="8" borderId="47" xfId="0" applyNumberFormat="1" applyFont="1" applyFill="1" applyBorder="1" applyAlignment="1">
      <alignment horizontal="right" vertical="center" wrapText="1"/>
    </xf>
    <xf numFmtId="4" fontId="1" fillId="8" borderId="28" xfId="0" applyNumberFormat="1" applyFont="1" applyFill="1" applyBorder="1" applyAlignment="1">
      <alignment horizontal="right" vertical="center" wrapText="1"/>
    </xf>
    <xf numFmtId="4" fontId="4" fillId="8" borderId="2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2" borderId="47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 wrapText="1"/>
    </xf>
    <xf numFmtId="4" fontId="4" fillId="2" borderId="48" xfId="0" applyNumberFormat="1" applyFont="1" applyFill="1" applyBorder="1" applyAlignment="1">
      <alignment vertical="center"/>
    </xf>
    <xf numFmtId="4" fontId="0" fillId="0" borderId="54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0" fillId="0" borderId="55" xfId="0" applyNumberFormat="1" applyFill="1" applyBorder="1" applyAlignment="1">
      <alignment vertical="center"/>
    </xf>
    <xf numFmtId="4" fontId="4" fillId="4" borderId="47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4" borderId="55" xfId="0" applyNumberFormat="1" applyFont="1" applyFill="1" applyBorder="1" applyAlignment="1">
      <alignment horizontal="center" vertical="center" wrapText="1"/>
    </xf>
    <xf numFmtId="0" fontId="0" fillId="3" borderId="27" xfId="0" applyFill="1" applyBorder="1" applyAlignment="1">
      <alignment vertical="center"/>
    </xf>
    <xf numFmtId="4" fontId="0" fillId="3" borderId="12" xfId="0" applyNumberForma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vertical="center"/>
    </xf>
    <xf numFmtId="4" fontId="0" fillId="8" borderId="12" xfId="0" applyNumberFormat="1" applyFill="1" applyBorder="1" applyAlignment="1">
      <alignment vertical="center"/>
    </xf>
    <xf numFmtId="4" fontId="4" fillId="3" borderId="41" xfId="0" applyNumberFormat="1" applyFont="1" applyFill="1" applyBorder="1" applyAlignment="1">
      <alignment vertical="center"/>
    </xf>
    <xf numFmtId="4" fontId="0" fillId="3" borderId="10" xfId="0" applyNumberFormat="1" applyFill="1" applyBorder="1" applyAlignment="1">
      <alignment vertical="center"/>
    </xf>
    <xf numFmtId="4" fontId="0" fillId="3" borderId="3" xfId="0" applyNumberFormat="1" applyFill="1" applyBorder="1" applyAlignment="1">
      <alignment vertical="center"/>
    </xf>
    <xf numFmtId="4" fontId="0" fillId="3" borderId="28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wrapText="1"/>
    </xf>
    <xf numFmtId="4" fontId="4" fillId="5" borderId="56" xfId="0" applyNumberFormat="1" applyFont="1" applyFill="1" applyBorder="1" applyAlignment="1">
      <alignment vertical="center" wrapText="1"/>
    </xf>
    <xf numFmtId="4" fontId="4" fillId="6" borderId="52" xfId="0" applyNumberFormat="1" applyFont="1" applyFill="1" applyBorder="1" applyAlignment="1">
      <alignment horizontal="left" vertical="center"/>
    </xf>
    <xf numFmtId="4" fontId="4" fillId="3" borderId="56" xfId="0" applyNumberFormat="1" applyFont="1" applyFill="1" applyBorder="1" applyAlignment="1">
      <alignment horizontal="center"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51" xfId="0" applyNumberFormat="1" applyFill="1" applyBorder="1" applyAlignment="1">
      <alignment vertical="center"/>
    </xf>
    <xf numFmtId="4" fontId="4" fillId="3" borderId="57" xfId="0" applyNumberFormat="1" applyFont="1" applyFill="1" applyBorder="1" applyAlignment="1">
      <alignment vertical="center"/>
    </xf>
    <xf numFmtId="4" fontId="4" fillId="3" borderId="55" xfId="0" applyNumberFormat="1" applyFont="1" applyFill="1" applyBorder="1" applyAlignment="1">
      <alignment vertical="center"/>
    </xf>
    <xf numFmtId="4" fontId="4" fillId="3" borderId="57" xfId="0" applyNumberFormat="1" applyFont="1" applyFill="1" applyBorder="1" applyAlignment="1">
      <alignment vertical="center" wrapText="1"/>
    </xf>
    <xf numFmtId="4" fontId="4" fillId="3" borderId="56" xfId="0" applyNumberFormat="1" applyFont="1" applyFill="1" applyBorder="1" applyAlignment="1">
      <alignment vertical="center"/>
    </xf>
    <xf numFmtId="4" fontId="0" fillId="3" borderId="52" xfId="0" applyNumberFormat="1" applyFill="1" applyBorder="1" applyAlignment="1">
      <alignment vertical="center"/>
    </xf>
    <xf numFmtId="4" fontId="0" fillId="3" borderId="57" xfId="0" applyNumberFormat="1" applyFill="1" applyBorder="1" applyAlignment="1">
      <alignment vertical="center"/>
    </xf>
    <xf numFmtId="4" fontId="0" fillId="3" borderId="55" xfId="0" applyNumberFormat="1" applyFill="1" applyBorder="1" applyAlignment="1">
      <alignment vertical="center"/>
    </xf>
    <xf numFmtId="4" fontId="0" fillId="0" borderId="58" xfId="0" applyNumberFormat="1" applyFill="1" applyBorder="1" applyAlignment="1">
      <alignment wrapText="1"/>
    </xf>
    <xf numFmtId="4" fontId="4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wrapText="1"/>
    </xf>
    <xf numFmtId="4" fontId="4" fillId="0" borderId="11" xfId="0" applyNumberFormat="1" applyFont="1" applyFill="1" applyBorder="1" applyAlignment="1">
      <alignment vertical="center" wrapText="1"/>
    </xf>
    <xf numFmtId="4" fontId="0" fillId="0" borderId="27" xfId="0" applyNumberFormat="1" applyFill="1" applyBorder="1" applyAlignment="1">
      <alignment wrapText="1"/>
    </xf>
    <xf numFmtId="4" fontId="4" fillId="6" borderId="10" xfId="0" applyNumberFormat="1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4" fillId="4" borderId="13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59" xfId="0" applyNumberFormat="1" applyFont="1" applyFill="1" applyBorder="1" applyAlignment="1">
      <alignment horizontal="right" wrapText="1"/>
    </xf>
    <xf numFmtId="4" fontId="4" fillId="9" borderId="3" xfId="0" applyNumberFormat="1" applyFont="1" applyFill="1" applyBorder="1" applyAlignment="1">
      <alignment vertical="center"/>
    </xf>
    <xf numFmtId="4" fontId="4" fillId="9" borderId="28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 wrapText="1"/>
    </xf>
    <xf numFmtId="4" fontId="4" fillId="9" borderId="41" xfId="0" applyNumberFormat="1" applyFont="1" applyFill="1" applyBorder="1" applyAlignment="1">
      <alignment vertical="center"/>
    </xf>
    <xf numFmtId="4" fontId="4" fillId="9" borderId="41" xfId="0" applyNumberFormat="1" applyFont="1" applyFill="1" applyBorder="1" applyAlignment="1">
      <alignment horizontal="center" vertical="center" wrapText="1"/>
    </xf>
    <xf numFmtId="4" fontId="4" fillId="9" borderId="27" xfId="0" applyNumberFormat="1" applyFont="1" applyFill="1" applyBorder="1" applyAlignment="1">
      <alignment vertical="center"/>
    </xf>
    <xf numFmtId="4" fontId="4" fillId="9" borderId="12" xfId="0" applyNumberFormat="1" applyFont="1" applyFill="1" applyBorder="1" applyAlignment="1">
      <alignment vertical="center"/>
    </xf>
    <xf numFmtId="4" fontId="4" fillId="9" borderId="10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/>
    </xf>
    <xf numFmtId="4" fontId="4" fillId="5" borderId="13" xfId="0" applyNumberFormat="1" applyFont="1" applyFill="1" applyBorder="1" applyAlignment="1">
      <alignment vertical="center"/>
    </xf>
    <xf numFmtId="4" fontId="4" fillId="5" borderId="47" xfId="0" applyNumberFormat="1" applyFont="1" applyFill="1" applyBorder="1" applyAlignment="1">
      <alignment vertical="center"/>
    </xf>
    <xf numFmtId="4" fontId="4" fillId="5" borderId="13" xfId="0" applyNumberFormat="1" applyFont="1" applyFill="1" applyBorder="1" applyAlignment="1">
      <alignment vertical="center" wrapText="1"/>
    </xf>
    <xf numFmtId="4" fontId="4" fillId="5" borderId="48" xfId="0" applyNumberFormat="1" applyFont="1" applyFill="1" applyBorder="1" applyAlignment="1">
      <alignment vertical="center"/>
    </xf>
    <xf numFmtId="4" fontId="0" fillId="2" borderId="48" xfId="0" applyNumberFormat="1" applyFill="1" applyBorder="1" applyAlignment="1">
      <alignment horizontal="center" vertical="center" wrapText="1"/>
    </xf>
    <xf numFmtId="4" fontId="0" fillId="2" borderId="41" xfId="0" applyNumberFormat="1" applyFill="1" applyBorder="1" applyAlignment="1">
      <alignment horizontal="center" vertical="center" wrapText="1"/>
    </xf>
    <xf numFmtId="4" fontId="0" fillId="2" borderId="56" xfId="0" applyNumberFormat="1" applyFill="1" applyBorder="1" applyAlignment="1">
      <alignment horizontal="center" vertical="center" wrapText="1"/>
    </xf>
    <xf numFmtId="4" fontId="0" fillId="2" borderId="60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4" fontId="0" fillId="2" borderId="46" xfId="0" applyNumberFormat="1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51" xfId="0" applyNumberFormat="1" applyFill="1" applyBorder="1" applyAlignment="1">
      <alignment vertical="center"/>
    </xf>
    <xf numFmtId="4" fontId="0" fillId="2" borderId="61" xfId="0" applyNumberFormat="1" applyFill="1" applyBorder="1" applyAlignment="1">
      <alignment vertical="center"/>
    </xf>
    <xf numFmtId="4" fontId="0" fillId="2" borderId="10" xfId="0" applyNumberFormat="1" applyFill="1" applyBorder="1" applyAlignment="1">
      <alignment vertical="center"/>
    </xf>
    <xf numFmtId="4" fontId="0" fillId="2" borderId="52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4" fontId="0" fillId="2" borderId="47" xfId="0" applyNumberFormat="1" applyFill="1" applyBorder="1" applyAlignment="1">
      <alignment vertical="center"/>
    </xf>
    <xf numFmtId="4" fontId="0" fillId="2" borderId="28" xfId="0" applyNumberFormat="1" applyFill="1" applyBorder="1" applyAlignment="1">
      <alignment vertical="center"/>
    </xf>
    <xf numFmtId="4" fontId="0" fillId="2" borderId="55" xfId="0" applyNumberFormat="1" applyFill="1" applyBorder="1" applyAlignment="1">
      <alignment vertical="center"/>
    </xf>
    <xf numFmtId="4" fontId="1" fillId="0" borderId="53" xfId="0" applyNumberFormat="1" applyFont="1" applyFill="1" applyBorder="1" applyAlignment="1">
      <alignment vertical="center" wrapText="1"/>
    </xf>
    <xf numFmtId="4" fontId="1" fillId="0" borderId="51" xfId="0" applyNumberFormat="1" applyFont="1" applyFill="1" applyBorder="1" applyAlignment="1">
      <alignment vertical="center" wrapText="1"/>
    </xf>
    <xf numFmtId="4" fontId="4" fillId="2" borderId="57" xfId="0" applyNumberFormat="1" applyFont="1" applyFill="1" applyBorder="1" applyAlignment="1">
      <alignment vertical="center" wrapText="1"/>
    </xf>
    <xf numFmtId="4" fontId="1" fillId="0" borderId="23" xfId="0" applyNumberFormat="1" applyFont="1" applyFill="1" applyBorder="1" applyAlignment="1">
      <alignment vertical="center" wrapText="1"/>
    </xf>
    <xf numFmtId="4" fontId="1" fillId="0" borderId="40" xfId="0" applyNumberFormat="1" applyFont="1" applyFill="1" applyBorder="1" applyAlignment="1">
      <alignment vertical="center" wrapText="1"/>
    </xf>
    <xf numFmtId="4" fontId="4" fillId="2" borderId="62" xfId="0" applyNumberFormat="1" applyFont="1" applyFill="1" applyBorder="1" applyAlignment="1">
      <alignment vertical="center" wrapText="1"/>
    </xf>
    <xf numFmtId="4" fontId="1" fillId="0" borderId="50" xfId="0" applyNumberFormat="1" applyFont="1" applyFill="1" applyBorder="1" applyAlignment="1">
      <alignment vertical="center" wrapText="1"/>
    </xf>
    <xf numFmtId="4" fontId="1" fillId="0" borderId="22" xfId="0" applyNumberFormat="1" applyFont="1" applyFill="1" applyBorder="1" applyAlignment="1">
      <alignment vertical="center" wrapText="1"/>
    </xf>
    <xf numFmtId="4" fontId="1" fillId="2" borderId="6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 wrapText="1"/>
    </xf>
    <xf numFmtId="3" fontId="4" fillId="0" borderId="28" xfId="0" applyNumberFormat="1" applyFont="1" applyFill="1" applyBorder="1" applyAlignment="1">
      <alignment wrapText="1"/>
    </xf>
    <xf numFmtId="3" fontId="0" fillId="0" borderId="63" xfId="0" applyNumberFormat="1" applyFill="1" applyBorder="1" applyAlignment="1">
      <alignment wrapText="1"/>
    </xf>
    <xf numFmtId="3" fontId="0" fillId="0" borderId="24" xfId="0" applyNumberForma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5" borderId="64" xfId="0" applyNumberFormat="1" applyFont="1" applyFill="1" applyBorder="1" applyAlignment="1">
      <alignment horizontal="center" vertical="center" wrapText="1"/>
    </xf>
    <xf numFmtId="3" fontId="3" fillId="10" borderId="3" xfId="0" applyNumberFormat="1" applyFont="1" applyFill="1" applyBorder="1" applyAlignment="1">
      <alignment horizontal="center" vertical="center" wrapText="1"/>
    </xf>
    <xf numFmtId="3" fontId="3" fillId="10" borderId="6" xfId="0" applyNumberFormat="1" applyFont="1" applyFill="1" applyBorder="1" applyAlignment="1">
      <alignment vertical="center" wrapText="1"/>
    </xf>
    <xf numFmtId="3" fontId="3" fillId="10" borderId="12" xfId="0" applyNumberFormat="1" applyFont="1" applyFill="1" applyBorder="1" applyAlignment="1">
      <alignment vertical="center" wrapText="1"/>
    </xf>
    <xf numFmtId="3" fontId="3" fillId="10" borderId="11" xfId="0" applyNumberFormat="1" applyFont="1" applyFill="1" applyBorder="1" applyAlignment="1">
      <alignment vertical="center" wrapText="1"/>
    </xf>
    <xf numFmtId="3" fontId="3" fillId="10" borderId="3" xfId="0" applyNumberFormat="1" applyFont="1" applyFill="1" applyBorder="1" applyAlignment="1">
      <alignment vertical="center" wrapText="1"/>
    </xf>
    <xf numFmtId="3" fontId="3" fillId="10" borderId="10" xfId="0" applyNumberFormat="1" applyFont="1" applyFill="1" applyBorder="1" applyAlignment="1">
      <alignment vertical="center" wrapText="1"/>
    </xf>
    <xf numFmtId="3" fontId="3" fillId="10" borderId="3" xfId="0" applyNumberFormat="1" applyFont="1" applyFill="1" applyBorder="1" applyAlignment="1">
      <alignment horizontal="right" vertical="center" wrapText="1"/>
    </xf>
    <xf numFmtId="4" fontId="4" fillId="7" borderId="48" xfId="0" applyNumberFormat="1" applyFont="1" applyFill="1" applyBorder="1" applyAlignment="1">
      <alignment horizontal="center" vertical="center" wrapText="1"/>
    </xf>
    <xf numFmtId="4" fontId="4" fillId="7" borderId="60" xfId="0" applyNumberFormat="1" applyFont="1" applyFill="1" applyBorder="1" applyAlignment="1">
      <alignment vertical="center"/>
    </xf>
    <xf numFmtId="4" fontId="4" fillId="7" borderId="46" xfId="0" applyNumberFormat="1" applyFont="1" applyFill="1" applyBorder="1" applyAlignment="1">
      <alignment vertical="center"/>
    </xf>
    <xf numFmtId="4" fontId="4" fillId="7" borderId="4" xfId="0" applyNumberFormat="1" applyFont="1" applyFill="1" applyBorder="1" applyAlignment="1">
      <alignment vertical="center"/>
    </xf>
    <xf numFmtId="4" fontId="4" fillId="7" borderId="13" xfId="0" applyNumberFormat="1" applyFont="1" applyFill="1" applyBorder="1" applyAlignment="1">
      <alignment vertical="center"/>
    </xf>
    <xf numFmtId="4" fontId="4" fillId="7" borderId="47" xfId="0" applyNumberFormat="1" applyFont="1" applyFill="1" applyBorder="1" applyAlignment="1">
      <alignment vertical="center"/>
    </xf>
    <xf numFmtId="4" fontId="4" fillId="7" borderId="13" xfId="0" applyNumberFormat="1" applyFont="1" applyFill="1" applyBorder="1" applyAlignment="1">
      <alignment vertical="center" wrapText="1"/>
    </xf>
    <xf numFmtId="4" fontId="4" fillId="7" borderId="48" xfId="0" applyNumberFormat="1" applyFont="1" applyFill="1" applyBorder="1" applyAlignment="1">
      <alignment vertical="center"/>
    </xf>
    <xf numFmtId="4" fontId="4" fillId="7" borderId="61" xfId="0" applyNumberFormat="1" applyFont="1" applyFill="1" applyBorder="1" applyAlignment="1">
      <alignment vertical="center"/>
    </xf>
    <xf numFmtId="4" fontId="9" fillId="0" borderId="62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wrapText="1"/>
    </xf>
    <xf numFmtId="0" fontId="10" fillId="0" borderId="65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4" fontId="4" fillId="4" borderId="62" xfId="0" applyNumberFormat="1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4" fontId="0" fillId="5" borderId="60" xfId="0" applyNumberFormat="1" applyFill="1" applyBorder="1" applyAlignment="1">
      <alignment vertical="center"/>
    </xf>
    <xf numFmtId="4" fontId="0" fillId="5" borderId="46" xfId="0" applyNumberFormat="1" applyFill="1" applyBorder="1" applyAlignment="1">
      <alignment vertical="center"/>
    </xf>
    <xf numFmtId="4" fontId="0" fillId="5" borderId="61" xfId="0" applyNumberFormat="1" applyFill="1" applyBorder="1" applyAlignment="1">
      <alignment vertical="center"/>
    </xf>
    <xf numFmtId="4" fontId="0" fillId="5" borderId="13" xfId="0" applyNumberFormat="1" applyFill="1" applyBorder="1" applyAlignment="1">
      <alignment vertical="center"/>
    </xf>
    <xf numFmtId="4" fontId="0" fillId="5" borderId="47" xfId="0" applyNumberForma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4" borderId="29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vertical="center"/>
    </xf>
    <xf numFmtId="3" fontId="4" fillId="5" borderId="47" xfId="0" applyNumberFormat="1" applyFont="1" applyFill="1" applyBorder="1" applyAlignment="1">
      <alignment vertical="center"/>
    </xf>
    <xf numFmtId="3" fontId="4" fillId="5" borderId="13" xfId="0" applyNumberFormat="1" applyFont="1" applyFill="1" applyBorder="1" applyAlignment="1">
      <alignment vertical="center" wrapText="1"/>
    </xf>
    <xf numFmtId="3" fontId="4" fillId="5" borderId="3" xfId="0" applyNumberFormat="1" applyFont="1" applyFill="1" applyBorder="1" applyAlignment="1">
      <alignment vertical="center"/>
    </xf>
    <xf numFmtId="3" fontId="4" fillId="5" borderId="28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 wrapText="1"/>
    </xf>
    <xf numFmtId="3" fontId="4" fillId="4" borderId="28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4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wrapText="1"/>
    </xf>
    <xf numFmtId="4" fontId="0" fillId="0" borderId="70" xfId="0" applyNumberForma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57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workbookViewId="0" topLeftCell="A1">
      <selection activeCell="AA1" sqref="AA1"/>
    </sheetView>
  </sheetViews>
  <sheetFormatPr defaultColWidth="9.140625" defaultRowHeight="12.75"/>
  <cols>
    <col min="1" max="1" width="15.8515625" style="25" customWidth="1"/>
    <col min="2" max="2" width="29.00390625" style="26" customWidth="1"/>
    <col min="3" max="3" width="17.140625" style="236" customWidth="1"/>
    <col min="4" max="4" width="13.28125" style="19" customWidth="1"/>
    <col min="5" max="6" width="12.8515625" style="10" customWidth="1"/>
    <col min="7" max="7" width="10.57421875" style="10" customWidth="1"/>
    <col min="8" max="8" width="11.8515625" style="49" hidden="1" customWidth="1"/>
    <col min="9" max="10" width="11.7109375" style="49" hidden="1" customWidth="1"/>
    <col min="11" max="11" width="11.8515625" style="49" hidden="1" customWidth="1"/>
    <col min="12" max="12" width="11.7109375" style="49" hidden="1" customWidth="1"/>
    <col min="13" max="13" width="10.7109375" style="49" hidden="1" customWidth="1"/>
    <col min="14" max="14" width="0" style="49" hidden="1" customWidth="1"/>
    <col min="15" max="15" width="8.00390625" style="49" hidden="1" customWidth="1"/>
    <col min="16" max="19" width="11.7109375" style="49" hidden="1" customWidth="1"/>
    <col min="20" max="20" width="12.57421875" style="52" customWidth="1"/>
    <col min="21" max="21" width="12.8515625" style="49" customWidth="1"/>
    <col min="22" max="22" width="13.8515625" style="11" hidden="1" customWidth="1"/>
    <col min="23" max="23" width="13.140625" style="11" hidden="1" customWidth="1"/>
    <col min="24" max="24" width="11.57421875" style="11" customWidth="1"/>
    <col min="25" max="25" width="11.421875" style="264" customWidth="1"/>
    <col min="26" max="26" width="11.7109375" style="264" customWidth="1"/>
    <col min="27" max="27" width="12.28125" style="269" bestFit="1" customWidth="1"/>
    <col min="28" max="16384" width="9.140625" style="11" customWidth="1"/>
  </cols>
  <sheetData>
    <row r="1" spans="1:27" ht="13.5" customHeight="1">
      <c r="A1" s="94" t="s">
        <v>1</v>
      </c>
      <c r="B1" s="94"/>
      <c r="C1" s="235"/>
      <c r="D1" s="94"/>
      <c r="F1" s="95"/>
      <c r="G1" s="95"/>
      <c r="AA1" s="95" t="s">
        <v>49</v>
      </c>
    </row>
    <row r="2" ht="9.75" customHeight="1"/>
    <row r="3" spans="1:21" ht="19.5" customHeight="1" thickBot="1">
      <c r="A3" s="306" t="s">
        <v>67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10"/>
      <c r="U3" s="11"/>
    </row>
    <row r="4" spans="1:27" s="25" customFormat="1" ht="60.75" customHeight="1" thickBot="1">
      <c r="A4" s="27" t="s">
        <v>2</v>
      </c>
      <c r="B4" s="28" t="s">
        <v>3</v>
      </c>
      <c r="C4" s="245" t="s">
        <v>68</v>
      </c>
      <c r="D4" s="261" t="s">
        <v>42</v>
      </c>
      <c r="E4" s="48" t="s">
        <v>51</v>
      </c>
      <c r="F4" s="101" t="s">
        <v>52</v>
      </c>
      <c r="G4" s="123" t="s">
        <v>60</v>
      </c>
      <c r="H4" s="68" t="s">
        <v>37</v>
      </c>
      <c r="I4" s="50" t="s">
        <v>38</v>
      </c>
      <c r="J4" s="51" t="s">
        <v>39</v>
      </c>
      <c r="K4" s="68" t="s">
        <v>53</v>
      </c>
      <c r="L4" s="50" t="s">
        <v>54</v>
      </c>
      <c r="M4" s="51" t="s">
        <v>55</v>
      </c>
      <c r="N4" s="68" t="s">
        <v>61</v>
      </c>
      <c r="O4" s="50" t="s">
        <v>62</v>
      </c>
      <c r="P4" s="51" t="s">
        <v>63</v>
      </c>
      <c r="Q4" s="209" t="s">
        <v>73</v>
      </c>
      <c r="R4" s="210" t="s">
        <v>74</v>
      </c>
      <c r="S4" s="211" t="s">
        <v>64</v>
      </c>
      <c r="T4" s="252" t="s">
        <v>65</v>
      </c>
      <c r="U4" s="198" t="s">
        <v>66</v>
      </c>
      <c r="V4" s="173" t="s">
        <v>57</v>
      </c>
      <c r="W4" s="159" t="s">
        <v>58</v>
      </c>
      <c r="X4" s="272" t="s">
        <v>59</v>
      </c>
      <c r="Y4" s="303" t="s">
        <v>69</v>
      </c>
      <c r="Z4" s="304" t="s">
        <v>70</v>
      </c>
      <c r="AA4" s="305" t="s">
        <v>71</v>
      </c>
    </row>
    <row r="5" spans="1:27" s="1" customFormat="1" ht="18.75" customHeight="1">
      <c r="A5" s="309" t="s">
        <v>8</v>
      </c>
      <c r="B5" s="7" t="s">
        <v>4</v>
      </c>
      <c r="C5" s="246">
        <f>2843980+8400000</f>
        <v>11243980</v>
      </c>
      <c r="D5" s="226">
        <v>2843980</v>
      </c>
      <c r="E5" s="99">
        <v>985794.8308333332</v>
      </c>
      <c r="F5" s="105">
        <v>2085176</v>
      </c>
      <c r="G5" s="126"/>
      <c r="H5" s="61">
        <v>1085079.1</v>
      </c>
      <c r="I5" s="69">
        <v>1141737.58</v>
      </c>
      <c r="J5" s="69">
        <v>1192197.94</v>
      </c>
      <c r="K5" s="61">
        <v>775146.91</v>
      </c>
      <c r="L5" s="69">
        <v>1255271.28</v>
      </c>
      <c r="M5" s="69"/>
      <c r="N5" s="61"/>
      <c r="O5" s="69"/>
      <c r="P5" s="143">
        <v>1936978.32</v>
      </c>
      <c r="Q5" s="212">
        <f aca="true" t="shared" si="0" ref="Q5:S7">H5+K5+N5</f>
        <v>1860226.0100000002</v>
      </c>
      <c r="R5" s="213">
        <f t="shared" si="0"/>
        <v>2397008.8600000003</v>
      </c>
      <c r="S5" s="214">
        <f t="shared" si="0"/>
        <v>3129176.26</v>
      </c>
      <c r="T5" s="253">
        <v>1800000</v>
      </c>
      <c r="U5" s="199">
        <f>D5+T5</f>
        <v>4643980</v>
      </c>
      <c r="V5" s="174">
        <f>D5-R5</f>
        <v>446971.13999999966</v>
      </c>
      <c r="W5" s="161"/>
      <c r="X5" s="273">
        <f>F5+R5-Q5</f>
        <v>2621958.85</v>
      </c>
      <c r="Y5" s="281">
        <v>3500000</v>
      </c>
      <c r="Z5" s="282">
        <v>3500000</v>
      </c>
      <c r="AA5" s="283">
        <f>C5-D5-Y5-Z5</f>
        <v>1400000</v>
      </c>
    </row>
    <row r="6" spans="1:27" s="1" customFormat="1" ht="18.75" customHeight="1">
      <c r="A6" s="311"/>
      <c r="B6" s="33" t="s">
        <v>5</v>
      </c>
      <c r="C6" s="247">
        <f>2550000+7472360</f>
        <v>10022360</v>
      </c>
      <c r="D6" s="227">
        <v>2550000</v>
      </c>
      <c r="E6" s="37">
        <v>809597.8358333333</v>
      </c>
      <c r="F6" s="106"/>
      <c r="G6" s="127">
        <v>84020</v>
      </c>
      <c r="H6" s="62">
        <v>638840.55</v>
      </c>
      <c r="I6" s="54"/>
      <c r="J6" s="54"/>
      <c r="K6" s="62">
        <f>795336.18-70647.5</f>
        <v>724688.68</v>
      </c>
      <c r="L6" s="54"/>
      <c r="M6" s="54"/>
      <c r="N6" s="62"/>
      <c r="O6" s="54"/>
      <c r="P6" s="144"/>
      <c r="Q6" s="215">
        <f t="shared" si="0"/>
        <v>1363529.23</v>
      </c>
      <c r="R6" s="216">
        <f t="shared" si="0"/>
        <v>0</v>
      </c>
      <c r="S6" s="217">
        <f t="shared" si="0"/>
        <v>0</v>
      </c>
      <c r="T6" s="254">
        <v>500000</v>
      </c>
      <c r="U6" s="200">
        <f>D6+T6</f>
        <v>3050000</v>
      </c>
      <c r="V6" s="175"/>
      <c r="W6" s="162">
        <f>D6-Q6</f>
        <v>1186470.77</v>
      </c>
      <c r="X6" s="274"/>
      <c r="Y6" s="279">
        <v>2700000</v>
      </c>
      <c r="Z6" s="278">
        <v>2700000</v>
      </c>
      <c r="AA6" s="280">
        <f>C6-D6-Y6-Z6</f>
        <v>2072360</v>
      </c>
    </row>
    <row r="7" spans="1:27" s="1" customFormat="1" ht="18.75" customHeight="1" thickBot="1">
      <c r="A7" s="46"/>
      <c r="B7" s="32" t="s">
        <v>36</v>
      </c>
      <c r="C7" s="248">
        <f>442840+4562790</f>
        <v>5005630</v>
      </c>
      <c r="D7" s="96">
        <f>322720+120120</f>
        <v>442840</v>
      </c>
      <c r="E7" s="100">
        <v>72314.51</v>
      </c>
      <c r="F7" s="107"/>
      <c r="G7" s="128"/>
      <c r="H7" s="85">
        <v>60038.5</v>
      </c>
      <c r="I7" s="80"/>
      <c r="J7" s="80"/>
      <c r="K7" s="85">
        <v>70647.5</v>
      </c>
      <c r="L7" s="80"/>
      <c r="M7" s="80"/>
      <c r="N7" s="85"/>
      <c r="O7" s="80"/>
      <c r="P7" s="145"/>
      <c r="Q7" s="215">
        <f t="shared" si="0"/>
        <v>130686</v>
      </c>
      <c r="R7" s="216">
        <f t="shared" si="0"/>
        <v>0</v>
      </c>
      <c r="S7" s="217">
        <f t="shared" si="0"/>
        <v>0</v>
      </c>
      <c r="T7" s="254">
        <v>0</v>
      </c>
      <c r="U7" s="200">
        <f>D7+T7</f>
        <v>442840</v>
      </c>
      <c r="V7" s="175"/>
      <c r="W7" s="162">
        <f>D7-Q7</f>
        <v>312154</v>
      </c>
      <c r="X7" s="274"/>
      <c r="Y7" s="279">
        <v>1500000</v>
      </c>
      <c r="Z7" s="278">
        <v>1500000</v>
      </c>
      <c r="AA7" s="280">
        <f>C7-D7-Y7-Z7</f>
        <v>1562790</v>
      </c>
    </row>
    <row r="8" spans="1:27" s="1" customFormat="1" ht="23.25" customHeight="1" thickBot="1">
      <c r="A8" s="312" t="s">
        <v>72</v>
      </c>
      <c r="B8" s="313"/>
      <c r="C8" s="249">
        <f>C5+C6</f>
        <v>21266340</v>
      </c>
      <c r="D8" s="228">
        <f>D5+D6</f>
        <v>5393980</v>
      </c>
      <c r="E8" s="8">
        <v>1867707.1766666668</v>
      </c>
      <c r="F8" s="63"/>
      <c r="G8" s="129">
        <f aca="true" t="shared" si="1" ref="G8:X8">G5+G6+G7</f>
        <v>84020</v>
      </c>
      <c r="H8" s="9">
        <f t="shared" si="1"/>
        <v>1783958.1500000001</v>
      </c>
      <c r="I8" s="76">
        <f t="shared" si="1"/>
        <v>1141737.58</v>
      </c>
      <c r="J8" s="76">
        <f t="shared" si="1"/>
        <v>1192197.94</v>
      </c>
      <c r="K8" s="9">
        <f t="shared" si="1"/>
        <v>1570483.09</v>
      </c>
      <c r="L8" s="76">
        <f t="shared" si="1"/>
        <v>1255271.28</v>
      </c>
      <c r="M8" s="76">
        <f t="shared" si="1"/>
        <v>0</v>
      </c>
      <c r="N8" s="9">
        <f t="shared" si="1"/>
        <v>0</v>
      </c>
      <c r="O8" s="76">
        <f t="shared" si="1"/>
        <v>0</v>
      </c>
      <c r="P8" s="146">
        <f t="shared" si="1"/>
        <v>1936978.32</v>
      </c>
      <c r="Q8" s="146">
        <f t="shared" si="1"/>
        <v>3354441.24</v>
      </c>
      <c r="R8" s="146">
        <f t="shared" si="1"/>
        <v>2397008.8600000003</v>
      </c>
      <c r="S8" s="146">
        <f t="shared" si="1"/>
        <v>3129176.26</v>
      </c>
      <c r="T8" s="255">
        <f t="shared" si="1"/>
        <v>2300000</v>
      </c>
      <c r="U8" s="194">
        <f t="shared" si="1"/>
        <v>8136820</v>
      </c>
      <c r="V8" s="176">
        <f t="shared" si="1"/>
        <v>446971.13999999966</v>
      </c>
      <c r="W8" s="163">
        <f t="shared" si="1"/>
        <v>1498624.77</v>
      </c>
      <c r="X8" s="205">
        <f t="shared" si="1"/>
        <v>2621958.85</v>
      </c>
      <c r="Y8" s="294">
        <f>Y5+Y6</f>
        <v>6200000</v>
      </c>
      <c r="Z8" s="294">
        <f>Z5+Z6</f>
        <v>6200000</v>
      </c>
      <c r="AA8" s="297">
        <f>AA5+AA6</f>
        <v>3472360</v>
      </c>
    </row>
    <row r="9" spans="1:27" s="1" customFormat="1" ht="18" customHeight="1">
      <c r="A9" s="309" t="s">
        <v>7</v>
      </c>
      <c r="B9" s="7" t="s">
        <v>4</v>
      </c>
      <c r="C9" s="246">
        <f>6000+17500</f>
        <v>23500</v>
      </c>
      <c r="D9" s="229">
        <v>6000</v>
      </c>
      <c r="E9" s="39">
        <v>2907.523333333333</v>
      </c>
      <c r="F9" s="108">
        <v>20243.91</v>
      </c>
      <c r="G9" s="130"/>
      <c r="H9" s="86">
        <v>5031.05</v>
      </c>
      <c r="I9" s="55"/>
      <c r="J9" s="55">
        <v>6141.99</v>
      </c>
      <c r="K9" s="86">
        <v>2980.26</v>
      </c>
      <c r="L9" s="55">
        <v>5007.87</v>
      </c>
      <c r="M9" s="55"/>
      <c r="N9" s="86"/>
      <c r="O9" s="55"/>
      <c r="P9" s="147">
        <v>361.96</v>
      </c>
      <c r="Q9" s="215">
        <f aca="true" t="shared" si="2" ref="Q9:S10">H9+K9+N9</f>
        <v>8011.31</v>
      </c>
      <c r="R9" s="216">
        <f t="shared" si="2"/>
        <v>5007.87</v>
      </c>
      <c r="S9" s="217">
        <f t="shared" si="2"/>
        <v>6503.95</v>
      </c>
      <c r="T9" s="254">
        <v>4000</v>
      </c>
      <c r="U9" s="200">
        <f>D9+T9</f>
        <v>10000</v>
      </c>
      <c r="V9" s="175">
        <f>D9-R9</f>
        <v>992.1300000000001</v>
      </c>
      <c r="W9" s="162"/>
      <c r="X9" s="274">
        <f>F9+R9-Q9</f>
        <v>17240.469999999998</v>
      </c>
      <c r="Y9" s="279">
        <v>7500</v>
      </c>
      <c r="Z9" s="278">
        <v>7500</v>
      </c>
      <c r="AA9" s="280">
        <f>C9-D9-Y9-Z9</f>
        <v>2500</v>
      </c>
    </row>
    <row r="10" spans="1:27" s="1" customFormat="1" ht="18" customHeight="1" thickBot="1">
      <c r="A10" s="311"/>
      <c r="B10" s="29" t="s">
        <v>5</v>
      </c>
      <c r="C10" s="250">
        <f>2694650+6756950</f>
        <v>9451600</v>
      </c>
      <c r="D10" s="230">
        <v>2694650</v>
      </c>
      <c r="E10" s="38">
        <v>916985.3933333332</v>
      </c>
      <c r="F10" s="109"/>
      <c r="G10" s="131">
        <v>88070</v>
      </c>
      <c r="H10" s="85">
        <v>962870.48</v>
      </c>
      <c r="I10" s="80"/>
      <c r="J10" s="80"/>
      <c r="K10" s="85">
        <v>1075442.49</v>
      </c>
      <c r="L10" s="80"/>
      <c r="M10" s="80"/>
      <c r="N10" s="85"/>
      <c r="O10" s="80"/>
      <c r="P10" s="145"/>
      <c r="Q10" s="215">
        <f t="shared" si="2"/>
        <v>2038312.97</v>
      </c>
      <c r="R10" s="216">
        <f t="shared" si="2"/>
        <v>0</v>
      </c>
      <c r="S10" s="217">
        <f t="shared" si="2"/>
        <v>0</v>
      </c>
      <c r="T10" s="254">
        <v>1350000</v>
      </c>
      <c r="U10" s="200">
        <f>D10+T10</f>
        <v>4044650</v>
      </c>
      <c r="V10" s="175"/>
      <c r="W10" s="162">
        <f>D10-Q10</f>
        <v>656337.03</v>
      </c>
      <c r="X10" s="274"/>
      <c r="Y10" s="279">
        <v>3000000</v>
      </c>
      <c r="Z10" s="278">
        <v>3000000</v>
      </c>
      <c r="AA10" s="280">
        <f>C10-D10-Y10-Z10</f>
        <v>756950</v>
      </c>
    </row>
    <row r="11" spans="1:27" s="1" customFormat="1" ht="15" customHeight="1" thickBot="1">
      <c r="A11" s="3" t="s">
        <v>9</v>
      </c>
      <c r="B11" s="5" t="s">
        <v>10</v>
      </c>
      <c r="C11" s="249">
        <f>C9+C10</f>
        <v>9475100</v>
      </c>
      <c r="D11" s="231">
        <f>D9+D10</f>
        <v>2700650</v>
      </c>
      <c r="E11" s="8">
        <v>919892.9166666665</v>
      </c>
      <c r="F11" s="63"/>
      <c r="G11" s="129">
        <f aca="true" t="shared" si="3" ref="G11:AA11">G9+G10</f>
        <v>88070</v>
      </c>
      <c r="H11" s="9">
        <f t="shared" si="3"/>
        <v>967901.53</v>
      </c>
      <c r="I11" s="9">
        <f t="shared" si="3"/>
        <v>0</v>
      </c>
      <c r="J11" s="9">
        <f t="shared" si="3"/>
        <v>6141.99</v>
      </c>
      <c r="K11" s="9">
        <f t="shared" si="3"/>
        <v>1078422.75</v>
      </c>
      <c r="L11" s="9">
        <f t="shared" si="3"/>
        <v>5007.87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148">
        <f t="shared" si="3"/>
        <v>361.96</v>
      </c>
      <c r="Q11" s="148">
        <f t="shared" si="3"/>
        <v>2046324.28</v>
      </c>
      <c r="R11" s="148">
        <f t="shared" si="3"/>
        <v>5007.87</v>
      </c>
      <c r="S11" s="148">
        <f t="shared" si="3"/>
        <v>6503.95</v>
      </c>
      <c r="T11" s="256">
        <f t="shared" si="3"/>
        <v>1354000</v>
      </c>
      <c r="U11" s="194">
        <f t="shared" si="3"/>
        <v>4054650</v>
      </c>
      <c r="V11" s="176">
        <f t="shared" si="3"/>
        <v>992.1300000000001</v>
      </c>
      <c r="W11" s="163">
        <f t="shared" si="3"/>
        <v>656337.03</v>
      </c>
      <c r="X11" s="205">
        <f t="shared" si="3"/>
        <v>17240.469999999998</v>
      </c>
      <c r="Y11" s="294">
        <f t="shared" si="3"/>
        <v>3007500</v>
      </c>
      <c r="Z11" s="294">
        <f t="shared" si="3"/>
        <v>3007500</v>
      </c>
      <c r="AA11" s="297">
        <f t="shared" si="3"/>
        <v>759450</v>
      </c>
    </row>
    <row r="12" spans="1:27" s="1" customFormat="1" ht="16.5" customHeight="1">
      <c r="A12" s="310" t="s">
        <v>7</v>
      </c>
      <c r="B12" s="7" t="s">
        <v>24</v>
      </c>
      <c r="C12" s="246">
        <v>0</v>
      </c>
      <c r="D12" s="229">
        <v>0</v>
      </c>
      <c r="E12" s="40">
        <v>0</v>
      </c>
      <c r="F12" s="110">
        <v>0</v>
      </c>
      <c r="G12" s="132"/>
      <c r="H12" s="86">
        <v>0</v>
      </c>
      <c r="I12" s="55"/>
      <c r="J12" s="55"/>
      <c r="K12" s="86">
        <v>0</v>
      </c>
      <c r="L12" s="55"/>
      <c r="M12" s="55"/>
      <c r="N12" s="86"/>
      <c r="O12" s="55"/>
      <c r="P12" s="147"/>
      <c r="Q12" s="215">
        <f aca="true" t="shared" si="4" ref="Q12:S14">H12+K12+N12</f>
        <v>0</v>
      </c>
      <c r="R12" s="216">
        <f t="shared" si="4"/>
        <v>0</v>
      </c>
      <c r="S12" s="217">
        <f t="shared" si="4"/>
        <v>0</v>
      </c>
      <c r="T12" s="254">
        <v>0</v>
      </c>
      <c r="U12" s="200">
        <f>D12+T12</f>
        <v>0</v>
      </c>
      <c r="V12" s="175">
        <f>D12-R12</f>
        <v>0</v>
      </c>
      <c r="W12" s="162"/>
      <c r="X12" s="274">
        <f>F12+R12-Q12</f>
        <v>0</v>
      </c>
      <c r="Y12" s="279">
        <v>0</v>
      </c>
      <c r="Z12" s="278">
        <v>0</v>
      </c>
      <c r="AA12" s="280">
        <f>C12-D12-Y12-Z12</f>
        <v>0</v>
      </c>
    </row>
    <row r="13" spans="1:27" s="1" customFormat="1" ht="19.5" customHeight="1">
      <c r="A13" s="310"/>
      <c r="B13" s="7" t="s">
        <v>30</v>
      </c>
      <c r="C13" s="246">
        <v>63250</v>
      </c>
      <c r="D13" s="229">
        <v>22070</v>
      </c>
      <c r="E13" s="40">
        <v>5019.8</v>
      </c>
      <c r="F13" s="110"/>
      <c r="G13" s="132"/>
      <c r="H13" s="62">
        <v>7560</v>
      </c>
      <c r="I13" s="54"/>
      <c r="J13" s="54"/>
      <c r="K13" s="62">
        <v>3780</v>
      </c>
      <c r="L13" s="54"/>
      <c r="M13" s="54"/>
      <c r="N13" s="62"/>
      <c r="O13" s="54"/>
      <c r="P13" s="144"/>
      <c r="Q13" s="215">
        <f t="shared" si="4"/>
        <v>11340</v>
      </c>
      <c r="R13" s="216">
        <f t="shared" si="4"/>
        <v>0</v>
      </c>
      <c r="S13" s="217">
        <f t="shared" si="4"/>
        <v>0</v>
      </c>
      <c r="T13" s="254">
        <v>2000</v>
      </c>
      <c r="U13" s="200">
        <f>D13+T13</f>
        <v>24070</v>
      </c>
      <c r="V13" s="175"/>
      <c r="W13" s="162">
        <f>D13-Q13</f>
        <v>10730</v>
      </c>
      <c r="X13" s="274"/>
      <c r="Y13" s="279">
        <v>18000</v>
      </c>
      <c r="Z13" s="278">
        <v>18000</v>
      </c>
      <c r="AA13" s="280">
        <f>C13-D13-Y13-Z13</f>
        <v>5180</v>
      </c>
    </row>
    <row r="14" spans="1:27" s="1" customFormat="1" ht="20.25" customHeight="1" thickBot="1">
      <c r="A14" s="310"/>
      <c r="B14" s="29" t="s">
        <v>31</v>
      </c>
      <c r="C14" s="248">
        <v>1134890</v>
      </c>
      <c r="D14" s="232">
        <v>270170</v>
      </c>
      <c r="E14" s="41">
        <v>91285.06666666667</v>
      </c>
      <c r="F14" s="111"/>
      <c r="G14" s="133"/>
      <c r="H14" s="85">
        <v>86999</v>
      </c>
      <c r="I14" s="80"/>
      <c r="J14" s="80"/>
      <c r="K14" s="85">
        <v>102239</v>
      </c>
      <c r="L14" s="80"/>
      <c r="M14" s="80"/>
      <c r="N14" s="85"/>
      <c r="O14" s="80"/>
      <c r="P14" s="145"/>
      <c r="Q14" s="215">
        <f t="shared" si="4"/>
        <v>189238</v>
      </c>
      <c r="R14" s="216">
        <f t="shared" si="4"/>
        <v>0</v>
      </c>
      <c r="S14" s="217">
        <f t="shared" si="4"/>
        <v>0</v>
      </c>
      <c r="T14" s="254">
        <v>120000</v>
      </c>
      <c r="U14" s="200">
        <f>D14+T14</f>
        <v>390170</v>
      </c>
      <c r="V14" s="175"/>
      <c r="W14" s="162">
        <f>D14-Q14</f>
        <v>80932</v>
      </c>
      <c r="X14" s="274"/>
      <c r="Y14" s="279">
        <v>300000</v>
      </c>
      <c r="Z14" s="278">
        <v>300000</v>
      </c>
      <c r="AA14" s="280">
        <f>C14-D14-Y14-Z14</f>
        <v>264720</v>
      </c>
    </row>
    <row r="15" spans="1:27" s="1" customFormat="1" ht="15" customHeight="1" thickBot="1">
      <c r="A15" s="3" t="s">
        <v>9</v>
      </c>
      <c r="B15" s="5" t="s">
        <v>12</v>
      </c>
      <c r="C15" s="249">
        <f>C13+C14</f>
        <v>1198140</v>
      </c>
      <c r="D15" s="231">
        <f>D13+D14</f>
        <v>292240</v>
      </c>
      <c r="E15" s="8">
        <v>96304.86666666668</v>
      </c>
      <c r="F15" s="63"/>
      <c r="G15" s="134"/>
      <c r="H15" s="9">
        <f aca="true" t="shared" si="5" ref="H15:AA15">H13+H14</f>
        <v>94559</v>
      </c>
      <c r="I15" s="9">
        <f t="shared" si="5"/>
        <v>0</v>
      </c>
      <c r="J15" s="9">
        <f t="shared" si="5"/>
        <v>0</v>
      </c>
      <c r="K15" s="9">
        <f t="shared" si="5"/>
        <v>106019</v>
      </c>
      <c r="L15" s="9">
        <f t="shared" si="5"/>
        <v>0</v>
      </c>
      <c r="M15" s="9">
        <f t="shared" si="5"/>
        <v>0</v>
      </c>
      <c r="N15" s="9">
        <f t="shared" si="5"/>
        <v>0</v>
      </c>
      <c r="O15" s="9">
        <f t="shared" si="5"/>
        <v>0</v>
      </c>
      <c r="P15" s="148">
        <f t="shared" si="5"/>
        <v>0</v>
      </c>
      <c r="Q15" s="148">
        <f t="shared" si="5"/>
        <v>200578</v>
      </c>
      <c r="R15" s="148">
        <f t="shared" si="5"/>
        <v>0</v>
      </c>
      <c r="S15" s="148">
        <f t="shared" si="5"/>
        <v>0</v>
      </c>
      <c r="T15" s="256">
        <f t="shared" si="5"/>
        <v>122000</v>
      </c>
      <c r="U15" s="194">
        <f t="shared" si="5"/>
        <v>414240</v>
      </c>
      <c r="V15" s="176">
        <f t="shared" si="5"/>
        <v>0</v>
      </c>
      <c r="W15" s="163">
        <f t="shared" si="5"/>
        <v>91662</v>
      </c>
      <c r="X15" s="205">
        <f t="shared" si="5"/>
        <v>0</v>
      </c>
      <c r="Y15" s="294">
        <f t="shared" si="5"/>
        <v>318000</v>
      </c>
      <c r="Z15" s="294">
        <f t="shared" si="5"/>
        <v>318000</v>
      </c>
      <c r="AA15" s="297">
        <f t="shared" si="5"/>
        <v>269900</v>
      </c>
    </row>
    <row r="16" spans="1:27" s="1" customFormat="1" ht="13.5" customHeight="1" thickBot="1">
      <c r="A16" s="307" t="s">
        <v>11</v>
      </c>
      <c r="B16" s="308"/>
      <c r="C16" s="249">
        <f>C11+C12+C15</f>
        <v>10673240</v>
      </c>
      <c r="D16" s="231">
        <f>D11+D12+D15</f>
        <v>2992890</v>
      </c>
      <c r="E16" s="8">
        <v>1016197.7833333332</v>
      </c>
      <c r="F16" s="112"/>
      <c r="G16" s="135">
        <f aca="true" t="shared" si="6" ref="G16:AA16">G11+G12+G15</f>
        <v>88070</v>
      </c>
      <c r="H16" s="77">
        <f t="shared" si="6"/>
        <v>1062460.53</v>
      </c>
      <c r="I16" s="77">
        <f t="shared" si="6"/>
        <v>0</v>
      </c>
      <c r="J16" s="87">
        <f t="shared" si="6"/>
        <v>6141.99</v>
      </c>
      <c r="K16" s="77">
        <f t="shared" si="6"/>
        <v>1184441.75</v>
      </c>
      <c r="L16" s="77">
        <f t="shared" si="6"/>
        <v>5007.87</v>
      </c>
      <c r="M16" s="87">
        <f t="shared" si="6"/>
        <v>0</v>
      </c>
      <c r="N16" s="77">
        <f t="shared" si="6"/>
        <v>0</v>
      </c>
      <c r="O16" s="77">
        <f t="shared" si="6"/>
        <v>0</v>
      </c>
      <c r="P16" s="149">
        <f t="shared" si="6"/>
        <v>361.96</v>
      </c>
      <c r="Q16" s="149">
        <f t="shared" si="6"/>
        <v>2246902.2800000003</v>
      </c>
      <c r="R16" s="149">
        <f t="shared" si="6"/>
        <v>5007.87</v>
      </c>
      <c r="S16" s="149">
        <f t="shared" si="6"/>
        <v>6503.95</v>
      </c>
      <c r="T16" s="257">
        <f t="shared" si="6"/>
        <v>1476000</v>
      </c>
      <c r="U16" s="195">
        <f t="shared" si="6"/>
        <v>4468890</v>
      </c>
      <c r="V16" s="177">
        <f t="shared" si="6"/>
        <v>992.1300000000001</v>
      </c>
      <c r="W16" s="164">
        <f t="shared" si="6"/>
        <v>747999.03</v>
      </c>
      <c r="X16" s="206">
        <f t="shared" si="6"/>
        <v>17240.469999999998</v>
      </c>
      <c r="Y16" s="295">
        <f t="shared" si="6"/>
        <v>3325500</v>
      </c>
      <c r="Z16" s="295">
        <f t="shared" si="6"/>
        <v>3325500</v>
      </c>
      <c r="AA16" s="298">
        <f t="shared" si="6"/>
        <v>1029350</v>
      </c>
    </row>
    <row r="17" spans="1:27" s="1" customFormat="1" ht="18" customHeight="1">
      <c r="A17" s="309" t="s">
        <v>43</v>
      </c>
      <c r="B17" s="7" t="s">
        <v>13</v>
      </c>
      <c r="C17" s="246">
        <v>624390</v>
      </c>
      <c r="D17" s="229">
        <f>3400+13500</f>
        <v>16900</v>
      </c>
      <c r="E17" s="39">
        <v>4850.8175</v>
      </c>
      <c r="F17" s="108">
        <v>32495.08</v>
      </c>
      <c r="G17" s="130"/>
      <c r="H17" s="86">
        <v>0</v>
      </c>
      <c r="I17" s="55">
        <v>16818.7</v>
      </c>
      <c r="J17" s="55"/>
      <c r="K17" s="86">
        <v>8144.48</v>
      </c>
      <c r="L17" s="55"/>
      <c r="M17" s="55"/>
      <c r="N17" s="86"/>
      <c r="O17" s="55"/>
      <c r="P17" s="147">
        <v>16818.7</v>
      </c>
      <c r="Q17" s="215">
        <f aca="true" t="shared" si="7" ref="Q17:S18">H17+K17+N17</f>
        <v>8144.48</v>
      </c>
      <c r="R17" s="216">
        <f t="shared" si="7"/>
        <v>16818.7</v>
      </c>
      <c r="S17" s="217">
        <f t="shared" si="7"/>
        <v>16818.7</v>
      </c>
      <c r="T17" s="254">
        <v>60000</v>
      </c>
      <c r="U17" s="200">
        <f>D17+T17</f>
        <v>76900</v>
      </c>
      <c r="V17" s="175">
        <f>D17-R17</f>
        <v>81.29999999999927</v>
      </c>
      <c r="W17" s="162"/>
      <c r="X17" s="274">
        <f>F17+R17-Q17</f>
        <v>41169.3</v>
      </c>
      <c r="Y17" s="279">
        <v>205000</v>
      </c>
      <c r="Z17" s="278">
        <v>205000</v>
      </c>
      <c r="AA17" s="280">
        <f>C17-D17-Y17-Z17</f>
        <v>197490</v>
      </c>
    </row>
    <row r="18" spans="1:27" s="1" customFormat="1" ht="18" customHeight="1" thickBot="1">
      <c r="A18" s="311"/>
      <c r="B18" s="29" t="s">
        <v>14</v>
      </c>
      <c r="C18" s="248">
        <v>70220</v>
      </c>
      <c r="D18" s="232">
        <v>25260</v>
      </c>
      <c r="E18" s="42">
        <v>8346.3225</v>
      </c>
      <c r="F18" s="107">
        <v>27041.07</v>
      </c>
      <c r="G18" s="128"/>
      <c r="H18" s="85">
        <v>8427.18</v>
      </c>
      <c r="I18" s="80"/>
      <c r="J18" s="80"/>
      <c r="K18" s="85">
        <v>8149.37</v>
      </c>
      <c r="L18" s="80"/>
      <c r="M18" s="80"/>
      <c r="N18" s="85"/>
      <c r="O18" s="80"/>
      <c r="P18" s="145">
        <v>15545.77</v>
      </c>
      <c r="Q18" s="215">
        <f t="shared" si="7"/>
        <v>16576.55</v>
      </c>
      <c r="R18" s="216">
        <f t="shared" si="7"/>
        <v>0</v>
      </c>
      <c r="S18" s="217">
        <f t="shared" si="7"/>
        <v>15545.77</v>
      </c>
      <c r="T18" s="254">
        <v>7000</v>
      </c>
      <c r="U18" s="200">
        <f>D18+T18</f>
        <v>32260</v>
      </c>
      <c r="V18" s="175">
        <f>D18-R18</f>
        <v>25260</v>
      </c>
      <c r="W18" s="162"/>
      <c r="X18" s="274">
        <f>F18+R18-Q18</f>
        <v>10464.52</v>
      </c>
      <c r="Y18" s="279">
        <v>24000</v>
      </c>
      <c r="Z18" s="278">
        <v>20960</v>
      </c>
      <c r="AA18" s="280">
        <f>C18-D18-Y18-Z18</f>
        <v>0</v>
      </c>
    </row>
    <row r="19" spans="1:27" s="1" customFormat="1" ht="19.5" customHeight="1" thickBot="1">
      <c r="A19" s="307" t="s">
        <v>15</v>
      </c>
      <c r="B19" s="308"/>
      <c r="C19" s="249">
        <f>C17+C18</f>
        <v>694610</v>
      </c>
      <c r="D19" s="231">
        <f>D17+D18</f>
        <v>42160</v>
      </c>
      <c r="E19" s="8">
        <v>13197.14</v>
      </c>
      <c r="F19" s="63">
        <f>F17+F18</f>
        <v>59536.15</v>
      </c>
      <c r="G19" s="134"/>
      <c r="H19" s="9">
        <f aca="true" t="shared" si="8" ref="H19:AA19">H17+H18</f>
        <v>8427.18</v>
      </c>
      <c r="I19" s="9">
        <f t="shared" si="8"/>
        <v>16818.7</v>
      </c>
      <c r="J19" s="9">
        <f t="shared" si="8"/>
        <v>0</v>
      </c>
      <c r="K19" s="9">
        <f t="shared" si="8"/>
        <v>16293.849999999999</v>
      </c>
      <c r="L19" s="9">
        <f t="shared" si="8"/>
        <v>0</v>
      </c>
      <c r="M19" s="9">
        <f t="shared" si="8"/>
        <v>0</v>
      </c>
      <c r="N19" s="9">
        <f t="shared" si="8"/>
        <v>0</v>
      </c>
      <c r="O19" s="9">
        <f t="shared" si="8"/>
        <v>0</v>
      </c>
      <c r="P19" s="148">
        <f t="shared" si="8"/>
        <v>32364.47</v>
      </c>
      <c r="Q19" s="148">
        <f t="shared" si="8"/>
        <v>24721.03</v>
      </c>
      <c r="R19" s="148">
        <f t="shared" si="8"/>
        <v>16818.7</v>
      </c>
      <c r="S19" s="148">
        <f t="shared" si="8"/>
        <v>32364.47</v>
      </c>
      <c r="T19" s="256">
        <f t="shared" si="8"/>
        <v>67000</v>
      </c>
      <c r="U19" s="194">
        <f t="shared" si="8"/>
        <v>109160</v>
      </c>
      <c r="V19" s="176">
        <f t="shared" si="8"/>
        <v>25341.3</v>
      </c>
      <c r="W19" s="163">
        <f t="shared" si="8"/>
        <v>0</v>
      </c>
      <c r="X19" s="205">
        <f t="shared" si="8"/>
        <v>51633.82000000001</v>
      </c>
      <c r="Y19" s="294">
        <f t="shared" si="8"/>
        <v>229000</v>
      </c>
      <c r="Z19" s="294">
        <f t="shared" si="8"/>
        <v>225960</v>
      </c>
      <c r="AA19" s="297">
        <f t="shared" si="8"/>
        <v>197490</v>
      </c>
    </row>
    <row r="20" spans="1:27" s="1" customFormat="1" ht="18" customHeight="1">
      <c r="A20" s="309" t="s">
        <v>40</v>
      </c>
      <c r="B20" s="7" t="s">
        <v>0</v>
      </c>
      <c r="C20" s="246">
        <f>6930+19960</f>
        <v>26890</v>
      </c>
      <c r="D20" s="229">
        <v>6930</v>
      </c>
      <c r="E20" s="39">
        <v>2656.3824999999997</v>
      </c>
      <c r="F20" s="108"/>
      <c r="G20" s="130"/>
      <c r="H20" s="86">
        <v>2943.75</v>
      </c>
      <c r="I20" s="55"/>
      <c r="J20" s="55"/>
      <c r="K20" s="86">
        <v>2102.69</v>
      </c>
      <c r="L20" s="55"/>
      <c r="M20" s="55"/>
      <c r="N20" s="86"/>
      <c r="O20" s="55"/>
      <c r="P20" s="147"/>
      <c r="Q20" s="215">
        <f aca="true" t="shared" si="9" ref="Q20:S24">H20+K20+N20</f>
        <v>5046.4400000000005</v>
      </c>
      <c r="R20" s="216">
        <f t="shared" si="9"/>
        <v>0</v>
      </c>
      <c r="S20" s="217">
        <f t="shared" si="9"/>
        <v>0</v>
      </c>
      <c r="T20" s="254">
        <v>4100</v>
      </c>
      <c r="U20" s="200">
        <f>D20+T20</f>
        <v>11030</v>
      </c>
      <c r="V20" s="175"/>
      <c r="W20" s="162">
        <f>D20-Q20</f>
        <v>1883.5599999999995</v>
      </c>
      <c r="X20" s="274"/>
      <c r="Y20" s="279">
        <v>9000</v>
      </c>
      <c r="Z20" s="278">
        <v>9000</v>
      </c>
      <c r="AA20" s="280">
        <f>C20-D20-Y20-Z20</f>
        <v>1960</v>
      </c>
    </row>
    <row r="21" spans="1:27" s="1" customFormat="1" ht="19.5" customHeight="1">
      <c r="A21" s="310"/>
      <c r="B21" s="32" t="s">
        <v>33</v>
      </c>
      <c r="C21" s="248">
        <v>943490</v>
      </c>
      <c r="D21" s="232">
        <v>293790</v>
      </c>
      <c r="E21" s="38">
        <v>103430.80333333334</v>
      </c>
      <c r="F21" s="109">
        <v>238686.46</v>
      </c>
      <c r="G21" s="131"/>
      <c r="H21" s="62">
        <v>95474.58</v>
      </c>
      <c r="I21" s="54"/>
      <c r="J21" s="54">
        <v>334174.92</v>
      </c>
      <c r="K21" s="62">
        <v>71605.94</v>
      </c>
      <c r="L21" s="54">
        <v>286423.74</v>
      </c>
      <c r="M21" s="54"/>
      <c r="N21" s="62"/>
      <c r="O21" s="54"/>
      <c r="P21" s="144"/>
      <c r="Q21" s="215">
        <f t="shared" si="9"/>
        <v>167080.52000000002</v>
      </c>
      <c r="R21" s="216">
        <f t="shared" si="9"/>
        <v>286423.74</v>
      </c>
      <c r="S21" s="217">
        <f t="shared" si="9"/>
        <v>334174.92</v>
      </c>
      <c r="T21" s="254">
        <v>120000</v>
      </c>
      <c r="U21" s="200">
        <f>D21+T21</f>
        <v>413790</v>
      </c>
      <c r="V21" s="175">
        <f>D21-R21</f>
        <v>7366.260000000009</v>
      </c>
      <c r="W21" s="162"/>
      <c r="X21" s="274">
        <f>F21+R21-Q21</f>
        <v>358029.67999999993</v>
      </c>
      <c r="Y21" s="279">
        <v>300000</v>
      </c>
      <c r="Z21" s="278">
        <v>300000</v>
      </c>
      <c r="AA21" s="280">
        <f>C21-D21-Y21-Z21</f>
        <v>49700</v>
      </c>
    </row>
    <row r="22" spans="1:27" s="1" customFormat="1" ht="15.75" customHeight="1">
      <c r="A22" s="310"/>
      <c r="B22" s="33" t="s">
        <v>34</v>
      </c>
      <c r="C22" s="247">
        <v>56500</v>
      </c>
      <c r="D22" s="233">
        <v>14970</v>
      </c>
      <c r="E22" s="37">
        <v>5573.52</v>
      </c>
      <c r="F22" s="106"/>
      <c r="G22" s="127"/>
      <c r="H22" s="62">
        <v>14862.72</v>
      </c>
      <c r="I22" s="54"/>
      <c r="J22" s="54"/>
      <c r="K22" s="62">
        <v>7431.36</v>
      </c>
      <c r="L22" s="54"/>
      <c r="M22" s="54"/>
      <c r="N22" s="62"/>
      <c r="O22" s="54"/>
      <c r="P22" s="144"/>
      <c r="Q22" s="215">
        <f t="shared" si="9"/>
        <v>22294.079999999998</v>
      </c>
      <c r="R22" s="216">
        <f t="shared" si="9"/>
        <v>0</v>
      </c>
      <c r="S22" s="217">
        <f t="shared" si="9"/>
        <v>0</v>
      </c>
      <c r="T22" s="254">
        <v>30000</v>
      </c>
      <c r="U22" s="200">
        <f>D22+T22</f>
        <v>44970</v>
      </c>
      <c r="V22" s="175"/>
      <c r="W22" s="165">
        <f>D22-Q22</f>
        <v>-7324.079999999998</v>
      </c>
      <c r="X22" s="274"/>
      <c r="Y22" s="279">
        <v>30000</v>
      </c>
      <c r="Z22" s="278">
        <v>11530</v>
      </c>
      <c r="AA22" s="280">
        <f>C22-D22-Y22-Z22</f>
        <v>0</v>
      </c>
    </row>
    <row r="23" spans="1:27" s="1" customFormat="1" ht="15.75" customHeight="1">
      <c r="A23" s="310"/>
      <c r="B23" s="33" t="s">
        <v>56</v>
      </c>
      <c r="C23" s="247">
        <v>1510</v>
      </c>
      <c r="D23" s="233">
        <v>7550</v>
      </c>
      <c r="E23" s="37"/>
      <c r="F23" s="106"/>
      <c r="G23" s="127"/>
      <c r="H23" s="62">
        <v>2516.1</v>
      </c>
      <c r="I23" s="54"/>
      <c r="J23" s="54"/>
      <c r="K23" s="62">
        <v>2516.1</v>
      </c>
      <c r="L23" s="54"/>
      <c r="M23" s="54"/>
      <c r="N23" s="62"/>
      <c r="O23" s="54"/>
      <c r="P23" s="144"/>
      <c r="Q23" s="215">
        <f t="shared" si="9"/>
        <v>5032.2</v>
      </c>
      <c r="R23" s="216">
        <f t="shared" si="9"/>
        <v>0</v>
      </c>
      <c r="S23" s="217">
        <f t="shared" si="9"/>
        <v>0</v>
      </c>
      <c r="T23" s="254">
        <v>0</v>
      </c>
      <c r="U23" s="200">
        <f>D23+T23</f>
        <v>7550</v>
      </c>
      <c r="V23" s="175"/>
      <c r="W23" s="162">
        <f>D23-Q23</f>
        <v>2517.8</v>
      </c>
      <c r="X23" s="274"/>
      <c r="Y23" s="279"/>
      <c r="Z23" s="278"/>
      <c r="AA23" s="280"/>
    </row>
    <row r="24" spans="1:27" s="1" customFormat="1" ht="21.75" customHeight="1" thickBot="1">
      <c r="A24" s="311"/>
      <c r="B24" s="32" t="s">
        <v>16</v>
      </c>
      <c r="C24" s="248">
        <v>286810</v>
      </c>
      <c r="D24" s="232">
        <v>75570</v>
      </c>
      <c r="E24" s="42">
        <v>28302.041666666668</v>
      </c>
      <c r="F24" s="107"/>
      <c r="G24" s="128"/>
      <c r="H24" s="121">
        <f>18163.83+2516.1</f>
        <v>20679.93</v>
      </c>
      <c r="I24" s="122"/>
      <c r="J24" s="122"/>
      <c r="K24" s="121">
        <v>31469.43</v>
      </c>
      <c r="L24" s="122"/>
      <c r="M24" s="122"/>
      <c r="N24" s="121"/>
      <c r="O24" s="122"/>
      <c r="P24" s="142"/>
      <c r="Q24" s="215">
        <f t="shared" si="9"/>
        <v>52149.36</v>
      </c>
      <c r="R24" s="216">
        <f t="shared" si="9"/>
        <v>0</v>
      </c>
      <c r="S24" s="217">
        <f t="shared" si="9"/>
        <v>0</v>
      </c>
      <c r="T24" s="254">
        <v>41000</v>
      </c>
      <c r="U24" s="200">
        <f>D24+T24</f>
        <v>116570</v>
      </c>
      <c r="V24" s="175"/>
      <c r="W24" s="162">
        <f>D24-Q24</f>
        <v>23420.64</v>
      </c>
      <c r="X24" s="274"/>
      <c r="Y24" s="279">
        <v>88000</v>
      </c>
      <c r="Z24" s="278">
        <v>88000</v>
      </c>
      <c r="AA24" s="280">
        <f>C24-D24-Y24-Z24</f>
        <v>35240</v>
      </c>
    </row>
    <row r="25" spans="1:27" s="1" customFormat="1" ht="19.5" customHeight="1" thickBot="1">
      <c r="A25" s="307" t="s">
        <v>17</v>
      </c>
      <c r="B25" s="308"/>
      <c r="C25" s="249">
        <f>SUM(C20:C24)</f>
        <v>1315200</v>
      </c>
      <c r="D25" s="231">
        <f>SUM(D20:D24)</f>
        <v>398810</v>
      </c>
      <c r="E25" s="4">
        <f>SUM(E20:E24)</f>
        <v>139962.74750000003</v>
      </c>
      <c r="F25" s="4">
        <f>SUM(F20:F24)</f>
        <v>238686.46</v>
      </c>
      <c r="G25" s="134"/>
      <c r="H25" s="4">
        <f aca="true" t="shared" si="10" ref="H25:AA25">SUM(H20:H24)</f>
        <v>136477.08000000002</v>
      </c>
      <c r="I25" s="4">
        <f t="shared" si="10"/>
        <v>0</v>
      </c>
      <c r="J25" s="4">
        <f t="shared" si="10"/>
        <v>334174.92</v>
      </c>
      <c r="K25" s="4">
        <f t="shared" si="10"/>
        <v>115125.52000000002</v>
      </c>
      <c r="L25" s="4">
        <f t="shared" si="10"/>
        <v>286423.74</v>
      </c>
      <c r="M25" s="4">
        <f t="shared" si="10"/>
        <v>0</v>
      </c>
      <c r="N25" s="4">
        <f t="shared" si="10"/>
        <v>0</v>
      </c>
      <c r="O25" s="4">
        <f t="shared" si="10"/>
        <v>0</v>
      </c>
      <c r="P25" s="150">
        <f t="shared" si="10"/>
        <v>0</v>
      </c>
      <c r="Q25" s="150">
        <f t="shared" si="10"/>
        <v>251602.60000000003</v>
      </c>
      <c r="R25" s="150">
        <f t="shared" si="10"/>
        <v>286423.74</v>
      </c>
      <c r="S25" s="150">
        <f t="shared" si="10"/>
        <v>334174.92</v>
      </c>
      <c r="T25" s="258">
        <f t="shared" si="10"/>
        <v>195100</v>
      </c>
      <c r="U25" s="196">
        <f t="shared" si="10"/>
        <v>593910</v>
      </c>
      <c r="V25" s="178">
        <f t="shared" si="10"/>
        <v>7366.260000000009</v>
      </c>
      <c r="W25" s="8">
        <f t="shared" si="10"/>
        <v>20497.920000000002</v>
      </c>
      <c r="X25" s="207">
        <f t="shared" si="10"/>
        <v>358029.67999999993</v>
      </c>
      <c r="Y25" s="296">
        <f t="shared" si="10"/>
        <v>427000</v>
      </c>
      <c r="Z25" s="296">
        <f t="shared" si="10"/>
        <v>408530</v>
      </c>
      <c r="AA25" s="299">
        <f t="shared" si="10"/>
        <v>86900</v>
      </c>
    </row>
    <row r="26" spans="1:27" s="1" customFormat="1" ht="17.25" customHeight="1">
      <c r="A26" s="309" t="s">
        <v>18</v>
      </c>
      <c r="B26" s="7" t="s">
        <v>26</v>
      </c>
      <c r="C26" s="246">
        <v>0</v>
      </c>
      <c r="D26" s="229">
        <v>0</v>
      </c>
      <c r="E26" s="39">
        <v>3494.7216666666664</v>
      </c>
      <c r="F26" s="108"/>
      <c r="G26" s="130"/>
      <c r="H26" s="86">
        <v>0</v>
      </c>
      <c r="I26" s="55"/>
      <c r="J26" s="55"/>
      <c r="K26" s="86">
        <v>0</v>
      </c>
      <c r="L26" s="55"/>
      <c r="M26" s="55"/>
      <c r="N26" s="86"/>
      <c r="O26" s="55"/>
      <c r="P26" s="147">
        <v>8403.31</v>
      </c>
      <c r="Q26" s="215">
        <f aca="true" t="shared" si="11" ref="Q26:S28">H26+K26+N26</f>
        <v>0</v>
      </c>
      <c r="R26" s="216">
        <f t="shared" si="11"/>
        <v>0</v>
      </c>
      <c r="S26" s="217">
        <f t="shared" si="11"/>
        <v>8403.31</v>
      </c>
      <c r="T26" s="254">
        <v>0</v>
      </c>
      <c r="U26" s="200">
        <f>D26+T26</f>
        <v>0</v>
      </c>
      <c r="V26" s="175"/>
      <c r="W26" s="162">
        <f>D26-Q26</f>
        <v>0</v>
      </c>
      <c r="X26" s="274"/>
      <c r="Y26" s="279">
        <v>0</v>
      </c>
      <c r="Z26" s="278"/>
      <c r="AA26" s="280">
        <f>C26-D26-Y26-Z26</f>
        <v>0</v>
      </c>
    </row>
    <row r="27" spans="1:27" s="1" customFormat="1" ht="17.25" customHeight="1">
      <c r="A27" s="310"/>
      <c r="B27" s="7" t="s">
        <v>25</v>
      </c>
      <c r="C27" s="246">
        <v>87350</v>
      </c>
      <c r="D27" s="229">
        <v>20540</v>
      </c>
      <c r="E27" s="39">
        <v>7303.800833333332</v>
      </c>
      <c r="F27" s="108">
        <v>10949.92</v>
      </c>
      <c r="G27" s="130"/>
      <c r="H27" s="62">
        <v>6699.05</v>
      </c>
      <c r="I27" s="54"/>
      <c r="J27" s="54"/>
      <c r="K27" s="62">
        <v>5520.41</v>
      </c>
      <c r="L27" s="54">
        <v>16053.79</v>
      </c>
      <c r="M27" s="54"/>
      <c r="N27" s="62"/>
      <c r="O27" s="54"/>
      <c r="P27" s="144"/>
      <c r="Q27" s="215">
        <f t="shared" si="11"/>
        <v>12219.46</v>
      </c>
      <c r="R27" s="216">
        <f t="shared" si="11"/>
        <v>16053.79</v>
      </c>
      <c r="S27" s="217">
        <f t="shared" si="11"/>
        <v>0</v>
      </c>
      <c r="T27" s="254">
        <v>12000</v>
      </c>
      <c r="U27" s="200">
        <f>D27+T27</f>
        <v>32540</v>
      </c>
      <c r="V27" s="175">
        <f>D27-R27</f>
        <v>4486.209999999999</v>
      </c>
      <c r="W27" s="162"/>
      <c r="X27" s="274">
        <f>F27+R27-Q27</f>
        <v>14784.25</v>
      </c>
      <c r="Y27" s="279">
        <v>24000</v>
      </c>
      <c r="Z27" s="278">
        <v>24000</v>
      </c>
      <c r="AA27" s="280">
        <f>C27-D27-Y27-Z27</f>
        <v>18810</v>
      </c>
    </row>
    <row r="28" spans="1:27" s="1" customFormat="1" ht="17.25" customHeight="1" thickBot="1">
      <c r="A28" s="310"/>
      <c r="B28" s="29" t="s">
        <v>27</v>
      </c>
      <c r="C28" s="248">
        <v>470</v>
      </c>
      <c r="D28" s="229">
        <v>130</v>
      </c>
      <c r="E28" s="37">
        <v>49.153333333333336</v>
      </c>
      <c r="F28" s="109">
        <v>171.97</v>
      </c>
      <c r="G28" s="131"/>
      <c r="H28" s="85">
        <v>23.53</v>
      </c>
      <c r="I28" s="80"/>
      <c r="J28" s="80"/>
      <c r="K28" s="85">
        <v>39.45</v>
      </c>
      <c r="L28" s="80"/>
      <c r="M28" s="80"/>
      <c r="N28" s="85"/>
      <c r="O28" s="80"/>
      <c r="P28" s="145"/>
      <c r="Q28" s="215">
        <f t="shared" si="11"/>
        <v>62.980000000000004</v>
      </c>
      <c r="R28" s="216">
        <f t="shared" si="11"/>
        <v>0</v>
      </c>
      <c r="S28" s="217">
        <f t="shared" si="11"/>
        <v>0</v>
      </c>
      <c r="T28" s="254">
        <v>150</v>
      </c>
      <c r="U28" s="200">
        <f>D28+T28</f>
        <v>280</v>
      </c>
      <c r="V28" s="175">
        <f>D28-R28</f>
        <v>130</v>
      </c>
      <c r="W28" s="162"/>
      <c r="X28" s="274">
        <f>F28+R28-Q28</f>
        <v>108.99</v>
      </c>
      <c r="Y28" s="279">
        <v>150</v>
      </c>
      <c r="Z28" s="278">
        <v>150</v>
      </c>
      <c r="AA28" s="280">
        <f>C28-D28-Y28-Z28</f>
        <v>40</v>
      </c>
    </row>
    <row r="29" spans="1:27" s="1" customFormat="1" ht="19.5" customHeight="1" thickBot="1">
      <c r="A29" s="312" t="s">
        <v>19</v>
      </c>
      <c r="B29" s="313"/>
      <c r="C29" s="249">
        <f>C26+C27+C28</f>
        <v>87820</v>
      </c>
      <c r="D29" s="231">
        <f>D26+D27+D28</f>
        <v>20670</v>
      </c>
      <c r="E29" s="4">
        <v>10847.675833333333</v>
      </c>
      <c r="F29" s="113">
        <f>F27+F28</f>
        <v>11121.89</v>
      </c>
      <c r="G29" s="136"/>
      <c r="H29" s="81">
        <f aca="true" t="shared" si="12" ref="H29:AA29">H26+H27+H28</f>
        <v>6722.58</v>
      </c>
      <c r="I29" s="81">
        <f t="shared" si="12"/>
        <v>0</v>
      </c>
      <c r="J29" s="81">
        <f t="shared" si="12"/>
        <v>0</v>
      </c>
      <c r="K29" s="81">
        <f t="shared" si="12"/>
        <v>5559.86</v>
      </c>
      <c r="L29" s="81">
        <f t="shared" si="12"/>
        <v>16053.79</v>
      </c>
      <c r="M29" s="81">
        <f t="shared" si="12"/>
        <v>0</v>
      </c>
      <c r="N29" s="81">
        <f t="shared" si="12"/>
        <v>0</v>
      </c>
      <c r="O29" s="81">
        <f t="shared" si="12"/>
        <v>0</v>
      </c>
      <c r="P29" s="151">
        <f t="shared" si="12"/>
        <v>8403.31</v>
      </c>
      <c r="Q29" s="151">
        <f t="shared" si="12"/>
        <v>12282.439999999999</v>
      </c>
      <c r="R29" s="151">
        <f t="shared" si="12"/>
        <v>16053.79</v>
      </c>
      <c r="S29" s="151">
        <f t="shared" si="12"/>
        <v>8403.31</v>
      </c>
      <c r="T29" s="259">
        <f t="shared" si="12"/>
        <v>12150</v>
      </c>
      <c r="U29" s="197">
        <f t="shared" si="12"/>
        <v>32820</v>
      </c>
      <c r="V29" s="179">
        <f t="shared" si="12"/>
        <v>4616.209999999999</v>
      </c>
      <c r="W29" s="166">
        <f t="shared" si="12"/>
        <v>0</v>
      </c>
      <c r="X29" s="208">
        <f t="shared" si="12"/>
        <v>14893.24</v>
      </c>
      <c r="Y29" s="294">
        <f t="shared" si="12"/>
        <v>24150</v>
      </c>
      <c r="Z29" s="294">
        <f t="shared" si="12"/>
        <v>24150</v>
      </c>
      <c r="AA29" s="297">
        <f t="shared" si="12"/>
        <v>18850</v>
      </c>
    </row>
    <row r="30" spans="1:27" s="1" customFormat="1" ht="21.75" customHeight="1" thickBot="1">
      <c r="A30" s="312" t="s">
        <v>28</v>
      </c>
      <c r="B30" s="313"/>
      <c r="C30" s="251">
        <v>681270</v>
      </c>
      <c r="D30" s="234">
        <v>192380</v>
      </c>
      <c r="E30" s="43">
        <v>61299.42</v>
      </c>
      <c r="F30" s="114"/>
      <c r="G30" s="137"/>
      <c r="H30" s="71">
        <v>56510.42</v>
      </c>
      <c r="I30" s="72"/>
      <c r="J30" s="88"/>
      <c r="K30" s="71">
        <v>58564.91</v>
      </c>
      <c r="L30" s="72"/>
      <c r="M30" s="88"/>
      <c r="N30" s="71"/>
      <c r="O30" s="72"/>
      <c r="P30" s="152"/>
      <c r="Q30" s="218">
        <f aca="true" t="shared" si="13" ref="Q30:S34">H30+K30+N30</f>
        <v>115075.33</v>
      </c>
      <c r="R30" s="219">
        <f t="shared" si="13"/>
        <v>0</v>
      </c>
      <c r="S30" s="220">
        <f t="shared" si="13"/>
        <v>0</v>
      </c>
      <c r="T30" s="260">
        <v>43000</v>
      </c>
      <c r="U30" s="201">
        <f>D30+T30</f>
        <v>235380</v>
      </c>
      <c r="V30" s="180"/>
      <c r="W30" s="167">
        <f>D30-Q30</f>
        <v>77304.67</v>
      </c>
      <c r="X30" s="275"/>
      <c r="Y30" s="287">
        <v>180000</v>
      </c>
      <c r="Z30" s="288">
        <v>180000</v>
      </c>
      <c r="AA30" s="289">
        <f>C30-D30-Y30-Z30</f>
        <v>128890</v>
      </c>
    </row>
    <row r="31" spans="1:27" s="1" customFormat="1" ht="21" customHeight="1" thickBot="1">
      <c r="A31" s="312" t="s">
        <v>29</v>
      </c>
      <c r="B31" s="313"/>
      <c r="C31" s="251">
        <v>307880</v>
      </c>
      <c r="D31" s="234">
        <v>82620</v>
      </c>
      <c r="E31" s="43">
        <v>28015.18</v>
      </c>
      <c r="F31" s="119">
        <v>67754.4</v>
      </c>
      <c r="G31" s="138"/>
      <c r="H31" s="53">
        <v>16878.65</v>
      </c>
      <c r="I31" s="56">
        <v>82545.7</v>
      </c>
      <c r="J31" s="67">
        <v>136013.59</v>
      </c>
      <c r="K31" s="53">
        <v>19194.9</v>
      </c>
      <c r="L31" s="56"/>
      <c r="M31" s="67"/>
      <c r="N31" s="53"/>
      <c r="O31" s="56"/>
      <c r="P31" s="153">
        <v>82545.7</v>
      </c>
      <c r="Q31" s="221">
        <f t="shared" si="13"/>
        <v>36073.55</v>
      </c>
      <c r="R31" s="222">
        <f t="shared" si="13"/>
        <v>82545.7</v>
      </c>
      <c r="S31" s="221">
        <f t="shared" si="13"/>
        <v>218559.28999999998</v>
      </c>
      <c r="T31" s="256">
        <v>50000</v>
      </c>
      <c r="U31" s="194">
        <f>D31+T31</f>
        <v>132620</v>
      </c>
      <c r="V31" s="181">
        <f>D31-R31</f>
        <v>74.30000000000291</v>
      </c>
      <c r="W31" s="168"/>
      <c r="X31" s="276">
        <f>F31+R31-Q31</f>
        <v>114226.54999999997</v>
      </c>
      <c r="Y31" s="284">
        <v>100000</v>
      </c>
      <c r="Z31" s="285">
        <v>100000</v>
      </c>
      <c r="AA31" s="286">
        <f>C31-D31-Y31-Z31</f>
        <v>25260</v>
      </c>
    </row>
    <row r="32" spans="1:27" s="1" customFormat="1" ht="25.5" customHeight="1" thickBot="1">
      <c r="A32" s="321" t="s">
        <v>75</v>
      </c>
      <c r="B32" s="322"/>
      <c r="C32" s="251">
        <v>17342380</v>
      </c>
      <c r="D32" s="234">
        <v>4880610</v>
      </c>
      <c r="E32" s="43">
        <v>59189.333333333336</v>
      </c>
      <c r="F32" s="115"/>
      <c r="G32" s="139"/>
      <c r="H32" s="117">
        <v>32240</v>
      </c>
      <c r="I32" s="118"/>
      <c r="J32" s="70">
        <f>25296+14884</f>
        <v>40180</v>
      </c>
      <c r="K32" s="117">
        <v>33232</v>
      </c>
      <c r="L32" s="118"/>
      <c r="M32" s="70"/>
      <c r="N32" s="117"/>
      <c r="O32" s="118"/>
      <c r="P32" s="154">
        <v>33232</v>
      </c>
      <c r="Q32" s="221">
        <f t="shared" si="13"/>
        <v>65472</v>
      </c>
      <c r="R32" s="222">
        <f t="shared" si="13"/>
        <v>0</v>
      </c>
      <c r="S32" s="221">
        <f t="shared" si="13"/>
        <v>73412</v>
      </c>
      <c r="T32" s="256">
        <v>38688</v>
      </c>
      <c r="U32" s="194">
        <f>D32+T32</f>
        <v>4919298</v>
      </c>
      <c r="V32" s="181"/>
      <c r="W32" s="169">
        <f>D32-Q32</f>
        <v>4815138</v>
      </c>
      <c r="X32" s="276"/>
      <c r="Y32" s="287">
        <v>5000000</v>
      </c>
      <c r="Z32" s="288">
        <v>5000000</v>
      </c>
      <c r="AA32" s="289">
        <f>C32-D32-Y32-Z32</f>
        <v>2461770</v>
      </c>
    </row>
    <row r="33" spans="1:27" s="1" customFormat="1" ht="18.75" customHeight="1" thickBot="1">
      <c r="A33" s="307" t="s">
        <v>44</v>
      </c>
      <c r="B33" s="308"/>
      <c r="C33" s="251">
        <f>10740+35450</f>
        <v>46190</v>
      </c>
      <c r="D33" s="234">
        <v>10740</v>
      </c>
      <c r="E33" s="43">
        <v>3666.0833333333335</v>
      </c>
      <c r="F33" s="115"/>
      <c r="G33" s="139">
        <v>3100</v>
      </c>
      <c r="H33" s="102">
        <v>580</v>
      </c>
      <c r="I33" s="120"/>
      <c r="J33" s="82">
        <v>4431</v>
      </c>
      <c r="K33" s="102">
        <v>1711</v>
      </c>
      <c r="L33" s="120"/>
      <c r="M33" s="82"/>
      <c r="N33" s="102"/>
      <c r="O33" s="120"/>
      <c r="P33" s="155">
        <v>1711</v>
      </c>
      <c r="Q33" s="221">
        <f t="shared" si="13"/>
        <v>2291</v>
      </c>
      <c r="R33" s="222">
        <f t="shared" si="13"/>
        <v>0</v>
      </c>
      <c r="S33" s="221">
        <f t="shared" si="13"/>
        <v>6142</v>
      </c>
      <c r="T33" s="256">
        <v>0</v>
      </c>
      <c r="U33" s="194">
        <f>D33+T33</f>
        <v>10740</v>
      </c>
      <c r="V33" s="181"/>
      <c r="W33" s="169">
        <f>D33-Q33</f>
        <v>8449</v>
      </c>
      <c r="X33" s="276"/>
      <c r="Y33" s="284">
        <v>12000</v>
      </c>
      <c r="Z33" s="285">
        <v>12000</v>
      </c>
      <c r="AA33" s="286">
        <f>C33-D33-Y33-Z33</f>
        <v>11450</v>
      </c>
    </row>
    <row r="34" spans="1:27" s="1" customFormat="1" ht="16.5" customHeight="1" thickBot="1">
      <c r="A34" s="307" t="s">
        <v>45</v>
      </c>
      <c r="B34" s="308"/>
      <c r="C34" s="251">
        <v>1930</v>
      </c>
      <c r="D34" s="234">
        <v>440</v>
      </c>
      <c r="E34" s="43">
        <v>272</v>
      </c>
      <c r="F34" s="116"/>
      <c r="G34" s="140"/>
      <c r="H34" s="89">
        <v>220</v>
      </c>
      <c r="I34" s="82"/>
      <c r="J34" s="82">
        <v>400</v>
      </c>
      <c r="K34" s="89">
        <v>220</v>
      </c>
      <c r="L34" s="82"/>
      <c r="M34" s="82"/>
      <c r="N34" s="89"/>
      <c r="O34" s="82"/>
      <c r="P34" s="155">
        <v>520</v>
      </c>
      <c r="Q34" s="223">
        <f t="shared" si="13"/>
        <v>440</v>
      </c>
      <c r="R34" s="224">
        <f t="shared" si="13"/>
        <v>0</v>
      </c>
      <c r="S34" s="225">
        <f t="shared" si="13"/>
        <v>920</v>
      </c>
      <c r="T34" s="257">
        <v>300</v>
      </c>
      <c r="U34" s="195">
        <f>D34+T34</f>
        <v>740</v>
      </c>
      <c r="V34" s="182"/>
      <c r="W34" s="169">
        <f>D34-Q34</f>
        <v>0</v>
      </c>
      <c r="X34" s="277"/>
      <c r="Y34" s="290">
        <v>900</v>
      </c>
      <c r="Z34" s="291">
        <v>590</v>
      </c>
      <c r="AA34" s="292">
        <f>C34-D34-Y34-Z34</f>
        <v>0</v>
      </c>
    </row>
    <row r="35" spans="1:27" s="1" customFormat="1" ht="23.25" customHeight="1" thickBot="1">
      <c r="A35" s="315" t="s">
        <v>23</v>
      </c>
      <c r="B35" s="316"/>
      <c r="C35" s="237">
        <f>C5+C6+C7+C16+C19+C25+C29+C30+C31+C32+C33+C34</f>
        <v>57422490</v>
      </c>
      <c r="D35" s="271">
        <f>D5+D6+D7+D16+D19+D25+D29+D30+D31+D32+D33+D34</f>
        <v>14458140</v>
      </c>
      <c r="E35" s="36">
        <f>E8+E16+E19+E25+E29+E30+E31+E32+E33</f>
        <v>3200082.5400000005</v>
      </c>
      <c r="F35" s="103">
        <f>F5+F9+F12+F19+F21+F29+F31</f>
        <v>2482518.81</v>
      </c>
      <c r="G35" s="141">
        <f aca="true" t="shared" si="14" ref="G35:X35">G8+G16+G19+G25+G29+G30+G31+G32+G34</f>
        <v>172090</v>
      </c>
      <c r="H35" s="64">
        <f t="shared" si="14"/>
        <v>3103894.5900000003</v>
      </c>
      <c r="I35" s="65">
        <f t="shared" si="14"/>
        <v>1241101.98</v>
      </c>
      <c r="J35" s="65">
        <f t="shared" si="14"/>
        <v>1709108.44</v>
      </c>
      <c r="K35" s="64">
        <f t="shared" si="14"/>
        <v>3003115.88</v>
      </c>
      <c r="L35" s="65">
        <f t="shared" si="14"/>
        <v>1562756.6800000002</v>
      </c>
      <c r="M35" s="65">
        <f t="shared" si="14"/>
        <v>0</v>
      </c>
      <c r="N35" s="64">
        <f t="shared" si="14"/>
        <v>0</v>
      </c>
      <c r="O35" s="65">
        <f t="shared" si="14"/>
        <v>0</v>
      </c>
      <c r="P35" s="65">
        <f t="shared" si="14"/>
        <v>2094405.76</v>
      </c>
      <c r="Q35" s="156">
        <f t="shared" si="14"/>
        <v>6107010.470000001</v>
      </c>
      <c r="R35" s="64">
        <f t="shared" si="14"/>
        <v>2803858.660000001</v>
      </c>
      <c r="S35" s="160">
        <f t="shared" si="14"/>
        <v>3803514.2</v>
      </c>
      <c r="T35" s="191">
        <f t="shared" si="14"/>
        <v>4182238</v>
      </c>
      <c r="U35" s="64">
        <f t="shared" si="14"/>
        <v>18629638</v>
      </c>
      <c r="V35" s="160">
        <f t="shared" si="14"/>
        <v>485361.3399999997</v>
      </c>
      <c r="W35" s="64">
        <f t="shared" si="14"/>
        <v>7159564.39</v>
      </c>
      <c r="X35" s="65">
        <f t="shared" si="14"/>
        <v>3177982.6100000003</v>
      </c>
      <c r="Y35" s="300">
        <f>Y5+Y6+Y7+Y16+Y19+Y25+Y29+Y30+Y31+Y32+Y33+Y34</f>
        <v>16998550</v>
      </c>
      <c r="Z35" s="293">
        <f>Z5+Z6+Z7+Z16+Z19+Z25+Z29+Z30+Z31+Z32+Z33+Z34</f>
        <v>16976730</v>
      </c>
      <c r="AA35" s="293">
        <f>AA5+AA6+AA7+AA16+AA19+AA25+AA29+AA30+AA31+AA32+AA33+AA34</f>
        <v>8995110</v>
      </c>
    </row>
    <row r="36" spans="1:27" s="12" customFormat="1" ht="16.5" customHeight="1">
      <c r="A36" s="2" t="s">
        <v>20</v>
      </c>
      <c r="B36" s="6" t="s">
        <v>76</v>
      </c>
      <c r="C36" s="238">
        <f>C5+C6+C11+C19+C25+C29+C30</f>
        <v>33520340</v>
      </c>
      <c r="D36" s="59">
        <f>D5+D6+D11+D19+D25+D29+D30</f>
        <v>8748650</v>
      </c>
      <c r="E36" s="14">
        <f>E8+E11+E19+E25+E29+E30</f>
        <v>3012907.0766666667</v>
      </c>
      <c r="F36" s="59"/>
      <c r="G36" s="59"/>
      <c r="H36" s="59">
        <f aca="true" t="shared" si="15" ref="H36:X36">H8+H11+H19+H25+H29+H30</f>
        <v>2959996.9400000004</v>
      </c>
      <c r="I36" s="59">
        <f t="shared" si="15"/>
        <v>1158556.28</v>
      </c>
      <c r="J36" s="59">
        <f t="shared" si="15"/>
        <v>1532514.8499999999</v>
      </c>
      <c r="K36" s="59">
        <f t="shared" si="15"/>
        <v>2844449.98</v>
      </c>
      <c r="L36" s="59">
        <f t="shared" si="15"/>
        <v>1562756.6800000002</v>
      </c>
      <c r="M36" s="59">
        <f t="shared" si="15"/>
        <v>0</v>
      </c>
      <c r="N36" s="59">
        <f t="shared" si="15"/>
        <v>0</v>
      </c>
      <c r="O36" s="59">
        <f t="shared" si="15"/>
        <v>0</v>
      </c>
      <c r="P36" s="59">
        <f t="shared" si="15"/>
        <v>1978108.06</v>
      </c>
      <c r="Q36" s="157">
        <f t="shared" si="15"/>
        <v>5804446.920000001</v>
      </c>
      <c r="R36" s="14">
        <f t="shared" si="15"/>
        <v>2721312.960000001</v>
      </c>
      <c r="S36" s="157">
        <f t="shared" si="15"/>
        <v>3510622.91</v>
      </c>
      <c r="T36" s="192">
        <f t="shared" si="15"/>
        <v>3971250</v>
      </c>
      <c r="U36" s="14">
        <f t="shared" si="15"/>
        <v>13162740</v>
      </c>
      <c r="V36" s="157">
        <f t="shared" si="15"/>
        <v>485287.0399999997</v>
      </c>
      <c r="W36" s="14">
        <f t="shared" si="15"/>
        <v>2252764.3899999997</v>
      </c>
      <c r="X36" s="59">
        <f t="shared" si="15"/>
        <v>3063756.0600000005</v>
      </c>
      <c r="Y36" s="301">
        <f>Y5+Y6+Y11+Y19+Y25+Y29+Y30</f>
        <v>10067650</v>
      </c>
      <c r="Z36" s="238">
        <f>Z5+Z6+Z11+Z19+Z25+Z29+Z30</f>
        <v>10046140</v>
      </c>
      <c r="AA36" s="238">
        <f>AA5+AA6+AA11+AA19+AA25+AA29+AA30</f>
        <v>4663940</v>
      </c>
    </row>
    <row r="37" spans="1:27" s="12" customFormat="1" ht="17.25" customHeight="1" thickBot="1">
      <c r="A37" s="16"/>
      <c r="B37" s="17" t="s">
        <v>21</v>
      </c>
      <c r="C37" s="239">
        <f>C12+C13+C14+C31</f>
        <v>1506020</v>
      </c>
      <c r="D37" s="60">
        <f>D15+D31</f>
        <v>374860</v>
      </c>
      <c r="E37" s="18">
        <f>E12+E13+E14+E31</f>
        <v>124320.04666666666</v>
      </c>
      <c r="F37" s="60"/>
      <c r="G37" s="60"/>
      <c r="H37" s="60">
        <f aca="true" t="shared" si="16" ref="H37:X37">H12+H13+H14+H31</f>
        <v>111437.65</v>
      </c>
      <c r="I37" s="60">
        <f t="shared" si="16"/>
        <v>82545.7</v>
      </c>
      <c r="J37" s="60">
        <f t="shared" si="16"/>
        <v>136013.59</v>
      </c>
      <c r="K37" s="60">
        <f t="shared" si="16"/>
        <v>125213.9</v>
      </c>
      <c r="L37" s="60">
        <f t="shared" si="16"/>
        <v>0</v>
      </c>
      <c r="M37" s="60">
        <f t="shared" si="16"/>
        <v>0</v>
      </c>
      <c r="N37" s="60">
        <f t="shared" si="16"/>
        <v>0</v>
      </c>
      <c r="O37" s="60">
        <f t="shared" si="16"/>
        <v>0</v>
      </c>
      <c r="P37" s="60">
        <f t="shared" si="16"/>
        <v>82545.7</v>
      </c>
      <c r="Q37" s="158">
        <f t="shared" si="16"/>
        <v>236651.55</v>
      </c>
      <c r="R37" s="18">
        <f t="shared" si="16"/>
        <v>82545.7</v>
      </c>
      <c r="S37" s="158">
        <f t="shared" si="16"/>
        <v>218559.28999999998</v>
      </c>
      <c r="T37" s="193">
        <f t="shared" si="16"/>
        <v>172000</v>
      </c>
      <c r="U37" s="18">
        <f t="shared" si="16"/>
        <v>546860</v>
      </c>
      <c r="V37" s="158">
        <f t="shared" si="16"/>
        <v>74.30000000000291</v>
      </c>
      <c r="W37" s="18">
        <f t="shared" si="16"/>
        <v>91662</v>
      </c>
      <c r="X37" s="60">
        <f t="shared" si="16"/>
        <v>114226.54999999997</v>
      </c>
      <c r="Y37" s="302">
        <f>Y15+Y31</f>
        <v>418000</v>
      </c>
      <c r="Z37" s="239">
        <f>Z15+Z31</f>
        <v>418000</v>
      </c>
      <c r="AA37" s="239">
        <f>AA15+AA31</f>
        <v>295160</v>
      </c>
    </row>
    <row r="38" spans="1:27" s="12" customFormat="1" ht="14.25" customHeight="1" thickBot="1">
      <c r="A38" s="262" t="s">
        <v>20</v>
      </c>
      <c r="B38" s="263"/>
      <c r="C38" s="240"/>
      <c r="D38" s="24"/>
      <c r="E38" s="24"/>
      <c r="F38" s="24"/>
      <c r="G38" s="24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184"/>
      <c r="U38" s="184"/>
      <c r="V38" s="52"/>
      <c r="W38" s="52"/>
      <c r="X38" s="52"/>
      <c r="Y38" s="265"/>
      <c r="Z38" s="265"/>
      <c r="AA38" s="269"/>
    </row>
    <row r="39" spans="1:24" ht="18.75" customHeight="1">
      <c r="A39" s="319" t="s">
        <v>48</v>
      </c>
      <c r="B39" s="320"/>
      <c r="C39" s="241"/>
      <c r="D39" s="92">
        <f>D5+D9+D12+D19+D21+D29+D31+D33</f>
        <v>3299960</v>
      </c>
      <c r="E39" s="92">
        <f>E5+E9+E12+E19+E21+E29+E31+E33</f>
        <v>1147859.2366666663</v>
      </c>
      <c r="F39" s="92"/>
      <c r="G39" s="124"/>
      <c r="H39" s="92">
        <f aca="true" t="shared" si="17" ref="H39:X39">H5+H9+H12+H19+H21+H29+H31+H33</f>
        <v>1218193.1400000001</v>
      </c>
      <c r="I39" s="92">
        <f t="shared" si="17"/>
        <v>1241101.98</v>
      </c>
      <c r="J39" s="92">
        <f t="shared" si="17"/>
        <v>1672959.44</v>
      </c>
      <c r="K39" s="92">
        <f t="shared" si="17"/>
        <v>892492.72</v>
      </c>
      <c r="L39" s="92">
        <f t="shared" si="17"/>
        <v>1562756.6800000002</v>
      </c>
      <c r="M39" s="92">
        <f t="shared" si="17"/>
        <v>0</v>
      </c>
      <c r="N39" s="92">
        <f t="shared" si="17"/>
        <v>0</v>
      </c>
      <c r="O39" s="92">
        <f t="shared" si="17"/>
        <v>0</v>
      </c>
      <c r="P39" s="92">
        <f t="shared" si="17"/>
        <v>2062364.76</v>
      </c>
      <c r="Q39" s="92">
        <f t="shared" si="17"/>
        <v>2110685.8600000003</v>
      </c>
      <c r="R39" s="92">
        <f t="shared" si="17"/>
        <v>2803858.660000001</v>
      </c>
      <c r="S39" s="170">
        <f t="shared" si="17"/>
        <v>3735324.2</v>
      </c>
      <c r="T39" s="202">
        <f t="shared" si="17"/>
        <v>2053150</v>
      </c>
      <c r="U39" s="187">
        <f t="shared" si="17"/>
        <v>5353110</v>
      </c>
      <c r="V39" s="183">
        <f t="shared" si="17"/>
        <v>485361.3399999997</v>
      </c>
      <c r="W39" s="92">
        <f t="shared" si="17"/>
        <v>8449</v>
      </c>
      <c r="X39" s="92">
        <f t="shared" si="17"/>
        <v>3177982.6100000003</v>
      </c>
    </row>
    <row r="40" spans="2:24" ht="16.5" customHeight="1">
      <c r="B40" s="93" t="s">
        <v>22</v>
      </c>
      <c r="C40" s="242"/>
      <c r="D40" s="92">
        <f>D6+D10+D13+D14+D20+D22+D24+D30+D7</f>
        <v>6269580</v>
      </c>
      <c r="E40" s="92">
        <f>E6+E10+E13+E14+E20+E22+E24+E30+E7</f>
        <v>1993033.97</v>
      </c>
      <c r="F40" s="92"/>
      <c r="G40" s="124"/>
      <c r="H40" s="92">
        <f aca="true" t="shared" si="18" ref="H40:X40">H6+H10+H13+H14+H20+H22+H24+H30+H7</f>
        <v>1851305.3499999999</v>
      </c>
      <c r="I40" s="92">
        <f t="shared" si="18"/>
        <v>0</v>
      </c>
      <c r="J40" s="92">
        <f t="shared" si="18"/>
        <v>0</v>
      </c>
      <c r="K40" s="92">
        <f t="shared" si="18"/>
        <v>2076366.0599999998</v>
      </c>
      <c r="L40" s="92">
        <f t="shared" si="18"/>
        <v>0</v>
      </c>
      <c r="M40" s="92">
        <f t="shared" si="18"/>
        <v>0</v>
      </c>
      <c r="N40" s="92">
        <f t="shared" si="18"/>
        <v>0</v>
      </c>
      <c r="O40" s="92">
        <f t="shared" si="18"/>
        <v>0</v>
      </c>
      <c r="P40" s="92">
        <f t="shared" si="18"/>
        <v>0</v>
      </c>
      <c r="Q40" s="92">
        <f t="shared" si="18"/>
        <v>3927671.41</v>
      </c>
      <c r="R40" s="92">
        <f t="shared" si="18"/>
        <v>0</v>
      </c>
      <c r="S40" s="170">
        <f t="shared" si="18"/>
        <v>0</v>
      </c>
      <c r="T40" s="203">
        <f t="shared" si="18"/>
        <v>2090100</v>
      </c>
      <c r="U40" s="185">
        <f t="shared" si="18"/>
        <v>8359680</v>
      </c>
      <c r="V40" s="183">
        <f t="shared" si="18"/>
        <v>0</v>
      </c>
      <c r="W40" s="92">
        <f t="shared" si="18"/>
        <v>2341908.59</v>
      </c>
      <c r="X40" s="92">
        <f t="shared" si="18"/>
        <v>0</v>
      </c>
    </row>
    <row r="41" spans="1:27" s="91" customFormat="1" ht="19.5" customHeight="1" thickBot="1">
      <c r="A41" s="90"/>
      <c r="B41" s="31"/>
      <c r="C41" s="243"/>
      <c r="D41" s="24"/>
      <c r="E41" s="75"/>
      <c r="F41" s="75"/>
      <c r="G41" s="75"/>
      <c r="H41" s="75">
        <f aca="true" t="shared" si="19" ref="H41:X41">H39+H40</f>
        <v>3069498.49</v>
      </c>
      <c r="I41" s="75">
        <f t="shared" si="19"/>
        <v>1241101.98</v>
      </c>
      <c r="J41" s="75">
        <f t="shared" si="19"/>
        <v>1672959.44</v>
      </c>
      <c r="K41" s="75">
        <f t="shared" si="19"/>
        <v>2968858.78</v>
      </c>
      <c r="L41" s="75">
        <f t="shared" si="19"/>
        <v>1562756.6800000002</v>
      </c>
      <c r="M41" s="75">
        <f t="shared" si="19"/>
        <v>0</v>
      </c>
      <c r="N41" s="75">
        <f t="shared" si="19"/>
        <v>0</v>
      </c>
      <c r="O41" s="75">
        <f t="shared" si="19"/>
        <v>0</v>
      </c>
      <c r="P41" s="75">
        <f t="shared" si="19"/>
        <v>2062364.76</v>
      </c>
      <c r="Q41" s="75">
        <f t="shared" si="19"/>
        <v>6038357.2700000005</v>
      </c>
      <c r="R41" s="75">
        <f t="shared" si="19"/>
        <v>2803858.660000001</v>
      </c>
      <c r="S41" s="75">
        <f t="shared" si="19"/>
        <v>3735324.2</v>
      </c>
      <c r="T41" s="186">
        <f t="shared" si="19"/>
        <v>4143250</v>
      </c>
      <c r="U41" s="186">
        <f t="shared" si="19"/>
        <v>13712790</v>
      </c>
      <c r="V41" s="75">
        <f t="shared" si="19"/>
        <v>485361.3399999997</v>
      </c>
      <c r="W41" s="75">
        <f t="shared" si="19"/>
        <v>2350357.59</v>
      </c>
      <c r="X41" s="75">
        <f t="shared" si="19"/>
        <v>3177982.6100000003</v>
      </c>
      <c r="Y41" s="266"/>
      <c r="Z41" s="266"/>
      <c r="AA41" s="266"/>
    </row>
    <row r="42" spans="1:27" s="15" customFormat="1" ht="23.25" customHeight="1" thickBot="1">
      <c r="A42" s="317" t="s">
        <v>35</v>
      </c>
      <c r="B42" s="318"/>
      <c r="C42" s="244"/>
      <c r="D42" s="44">
        <f>D39-D33</f>
        <v>3289220</v>
      </c>
      <c r="E42" s="44">
        <f>E39-E33</f>
        <v>1144193.153333333</v>
      </c>
      <c r="F42" s="66"/>
      <c r="G42" s="125"/>
      <c r="H42" s="66">
        <f aca="true" t="shared" si="20" ref="H42:X42">H5+H9+H12+H19+H21+H27+H28+H31</f>
        <v>1217613.1400000001</v>
      </c>
      <c r="I42" s="66">
        <f t="shared" si="20"/>
        <v>1241101.98</v>
      </c>
      <c r="J42" s="66">
        <f t="shared" si="20"/>
        <v>1668528.44</v>
      </c>
      <c r="K42" s="66">
        <f t="shared" si="20"/>
        <v>890781.72</v>
      </c>
      <c r="L42" s="66">
        <f t="shared" si="20"/>
        <v>1562756.6800000002</v>
      </c>
      <c r="M42" s="66">
        <f t="shared" si="20"/>
        <v>0</v>
      </c>
      <c r="N42" s="66">
        <f t="shared" si="20"/>
        <v>0</v>
      </c>
      <c r="O42" s="66">
        <f t="shared" si="20"/>
        <v>0</v>
      </c>
      <c r="P42" s="66">
        <f t="shared" si="20"/>
        <v>2052250.45</v>
      </c>
      <c r="Q42" s="66">
        <f t="shared" si="20"/>
        <v>2108394.8600000003</v>
      </c>
      <c r="R42" s="66">
        <f t="shared" si="20"/>
        <v>2803858.660000001</v>
      </c>
      <c r="S42" s="171">
        <f t="shared" si="20"/>
        <v>3720778.89</v>
      </c>
      <c r="T42" s="113">
        <f t="shared" si="20"/>
        <v>2053150</v>
      </c>
      <c r="U42" s="113">
        <f t="shared" si="20"/>
        <v>5342370</v>
      </c>
      <c r="V42" s="66">
        <f t="shared" si="20"/>
        <v>485361.3399999997</v>
      </c>
      <c r="W42" s="66">
        <f t="shared" si="20"/>
        <v>0</v>
      </c>
      <c r="X42" s="66">
        <f t="shared" si="20"/>
        <v>3177982.6100000003</v>
      </c>
      <c r="Y42" s="267"/>
      <c r="Z42" s="267"/>
      <c r="AA42" s="267"/>
    </row>
    <row r="43" spans="1:27" s="34" customFormat="1" ht="24" customHeight="1">
      <c r="A43" s="314" t="s">
        <v>47</v>
      </c>
      <c r="B43" s="314"/>
      <c r="C43" s="314"/>
      <c r="D43" s="314"/>
      <c r="E43" s="314"/>
      <c r="F43" s="104"/>
      <c r="G43" s="30"/>
      <c r="H43" s="78">
        <f aca="true" t="shared" si="21" ref="H43:X43">H34+H42</f>
        <v>1217833.1400000001</v>
      </c>
      <c r="I43" s="78">
        <f t="shared" si="21"/>
        <v>1241101.98</v>
      </c>
      <c r="J43" s="78">
        <f t="shared" si="21"/>
        <v>1668928.44</v>
      </c>
      <c r="K43" s="78">
        <f t="shared" si="21"/>
        <v>891001.72</v>
      </c>
      <c r="L43" s="78">
        <f t="shared" si="21"/>
        <v>1562756.6800000002</v>
      </c>
      <c r="M43" s="78">
        <f t="shared" si="21"/>
        <v>0</v>
      </c>
      <c r="N43" s="78">
        <f t="shared" si="21"/>
        <v>0</v>
      </c>
      <c r="O43" s="78">
        <f t="shared" si="21"/>
        <v>0</v>
      </c>
      <c r="P43" s="78">
        <f t="shared" si="21"/>
        <v>2052770.45</v>
      </c>
      <c r="Q43" s="78">
        <f t="shared" si="21"/>
        <v>2108834.8600000003</v>
      </c>
      <c r="R43" s="78">
        <f t="shared" si="21"/>
        <v>2803858.660000001</v>
      </c>
      <c r="S43" s="172">
        <f t="shared" si="21"/>
        <v>3721698.89</v>
      </c>
      <c r="T43" s="188">
        <f t="shared" si="21"/>
        <v>2053450</v>
      </c>
      <c r="U43" s="188">
        <f t="shared" si="21"/>
        <v>5343110</v>
      </c>
      <c r="V43" s="78">
        <f t="shared" si="21"/>
        <v>485361.3399999997</v>
      </c>
      <c r="W43" s="78">
        <f t="shared" si="21"/>
        <v>0</v>
      </c>
      <c r="X43" s="78">
        <f t="shared" si="21"/>
        <v>3177982.6100000003</v>
      </c>
      <c r="Y43" s="268"/>
      <c r="Z43" s="268"/>
      <c r="AA43" s="270"/>
    </row>
    <row r="44" spans="20:21" ht="12.75">
      <c r="T44" s="184"/>
      <c r="U44" s="189"/>
    </row>
    <row r="45" spans="8:22" ht="13.5" thickBot="1">
      <c r="H45" s="49">
        <f>H42+H33</f>
        <v>1218193.1400000001</v>
      </c>
      <c r="I45" s="49">
        <f>I42+H33</f>
        <v>1241681.98</v>
      </c>
      <c r="J45" s="49">
        <f aca="true" t="shared" si="22" ref="J45:Q45">J42+J33</f>
        <v>1672959.44</v>
      </c>
      <c r="K45" s="49">
        <f t="shared" si="22"/>
        <v>892492.72</v>
      </c>
      <c r="L45" s="49">
        <f t="shared" si="22"/>
        <v>1562756.6800000002</v>
      </c>
      <c r="M45" s="49">
        <f t="shared" si="22"/>
        <v>0</v>
      </c>
      <c r="N45" s="49">
        <f t="shared" si="22"/>
        <v>0</v>
      </c>
      <c r="O45" s="49">
        <f t="shared" si="22"/>
        <v>0</v>
      </c>
      <c r="P45" s="49">
        <f t="shared" si="22"/>
        <v>2053961.45</v>
      </c>
      <c r="Q45" s="49">
        <f t="shared" si="22"/>
        <v>2110685.8600000003</v>
      </c>
      <c r="R45" s="49">
        <f>R42+Q33</f>
        <v>2806149.660000001</v>
      </c>
      <c r="S45" s="49">
        <f>S42+S33</f>
        <v>3726920.89</v>
      </c>
      <c r="T45" s="204">
        <f>T42+T33</f>
        <v>2053150</v>
      </c>
      <c r="U45" s="190">
        <f>U42+U33</f>
        <v>5353110</v>
      </c>
      <c r="V45" s="49">
        <f>V42+V33</f>
        <v>485361.3399999997</v>
      </c>
    </row>
  </sheetData>
  <mergeCells count="21">
    <mergeCell ref="A3:S3"/>
    <mergeCell ref="A19:B19"/>
    <mergeCell ref="A20:A24"/>
    <mergeCell ref="A5:A6"/>
    <mergeCell ref="A9:A10"/>
    <mergeCell ref="A12:A14"/>
    <mergeCell ref="A16:B16"/>
    <mergeCell ref="A8:B8"/>
    <mergeCell ref="A17:A18"/>
    <mergeCell ref="A43:E43"/>
    <mergeCell ref="A33:B33"/>
    <mergeCell ref="A35:B35"/>
    <mergeCell ref="A42:B42"/>
    <mergeCell ref="A39:B39"/>
    <mergeCell ref="A32:B32"/>
    <mergeCell ref="A34:B34"/>
    <mergeCell ref="A25:B25"/>
    <mergeCell ref="A26:A28"/>
    <mergeCell ref="A29:B29"/>
    <mergeCell ref="A30:B30"/>
    <mergeCell ref="A31:B31"/>
  </mergeCells>
  <printOptions/>
  <pageMargins left="0.2" right="0" top="0.24" bottom="0.23" header="0.92" footer="0.21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L6" sqref="L6"/>
    </sheetView>
  </sheetViews>
  <sheetFormatPr defaultColWidth="9.140625" defaultRowHeight="12.75"/>
  <cols>
    <col min="1" max="1" width="13.140625" style="25" customWidth="1"/>
    <col min="2" max="2" width="32.57421875" style="26" customWidth="1"/>
    <col min="3" max="3" width="20.7109375" style="19" customWidth="1"/>
    <col min="4" max="4" width="17.00390625" style="10" customWidth="1"/>
    <col min="5" max="5" width="11.8515625" style="49" hidden="1" customWidth="1"/>
    <col min="6" max="6" width="10.140625" style="49" hidden="1" customWidth="1"/>
    <col min="7" max="7" width="11.7109375" style="49" hidden="1" customWidth="1"/>
    <col min="8" max="16384" width="9.140625" style="11" customWidth="1"/>
  </cols>
  <sheetData>
    <row r="1" spans="1:4" ht="20.25" customHeight="1">
      <c r="A1" s="94" t="s">
        <v>1</v>
      </c>
      <c r="B1" s="94"/>
      <c r="C1" s="94"/>
      <c r="D1" s="95" t="s">
        <v>49</v>
      </c>
    </row>
    <row r="2" ht="18" customHeight="1"/>
    <row r="3" spans="1:4" ht="30.75" customHeight="1" thickBot="1">
      <c r="A3" s="324" t="s">
        <v>41</v>
      </c>
      <c r="B3" s="324"/>
      <c r="C3" s="324"/>
      <c r="D3" s="324"/>
    </row>
    <row r="4" spans="1:7" s="25" customFormat="1" ht="57" customHeight="1" thickBot="1">
      <c r="A4" s="27" t="s">
        <v>2</v>
      </c>
      <c r="B4" s="28" t="s">
        <v>3</v>
      </c>
      <c r="C4" s="20" t="s">
        <v>42</v>
      </c>
      <c r="D4" s="48" t="s">
        <v>50</v>
      </c>
      <c r="E4" s="68" t="s">
        <v>37</v>
      </c>
      <c r="F4" s="50" t="s">
        <v>38</v>
      </c>
      <c r="G4" s="51" t="s">
        <v>39</v>
      </c>
    </row>
    <row r="5" spans="1:7" s="1" customFormat="1" ht="18.75" customHeight="1">
      <c r="A5" s="309" t="s">
        <v>8</v>
      </c>
      <c r="B5" s="7" t="s">
        <v>4</v>
      </c>
      <c r="C5" s="97">
        <v>2843980</v>
      </c>
      <c r="D5" s="99">
        <v>992899.27</v>
      </c>
      <c r="E5" s="61"/>
      <c r="F5" s="69"/>
      <c r="G5" s="69"/>
    </row>
    <row r="6" spans="1:7" s="1" customFormat="1" ht="18.75" customHeight="1">
      <c r="A6" s="311"/>
      <c r="B6" s="29" t="s">
        <v>5</v>
      </c>
      <c r="C6" s="98">
        <v>2550000</v>
      </c>
      <c r="D6" s="37">
        <v>817776.75</v>
      </c>
      <c r="E6" s="62"/>
      <c r="F6" s="54"/>
      <c r="G6" s="54"/>
    </row>
    <row r="7" spans="1:7" s="1" customFormat="1" ht="18.75" customHeight="1" thickBot="1">
      <c r="A7" s="46"/>
      <c r="B7" s="47" t="s">
        <v>36</v>
      </c>
      <c r="C7" s="96">
        <v>322720</v>
      </c>
      <c r="D7" s="100">
        <v>0</v>
      </c>
      <c r="E7" s="85"/>
      <c r="F7" s="80"/>
      <c r="G7" s="80"/>
    </row>
    <row r="8" spans="1:7" s="1" customFormat="1" ht="23.25" customHeight="1" thickBot="1">
      <c r="A8" s="312" t="s">
        <v>6</v>
      </c>
      <c r="B8" s="325"/>
      <c r="C8" s="45">
        <f>C5+C6+C7</f>
        <v>5716700</v>
      </c>
      <c r="D8" s="8">
        <f>D5+D6+D7</f>
        <v>1810676.02</v>
      </c>
      <c r="E8" s="9">
        <f>E5+E6+E7</f>
        <v>0</v>
      </c>
      <c r="F8" s="76">
        <f>F5+F6+F7</f>
        <v>0</v>
      </c>
      <c r="G8" s="76">
        <f>G5+G6+G7</f>
        <v>0</v>
      </c>
    </row>
    <row r="9" spans="1:7" s="1" customFormat="1" ht="18" customHeight="1">
      <c r="A9" s="309" t="s">
        <v>7</v>
      </c>
      <c r="B9" s="7" t="s">
        <v>4</v>
      </c>
      <c r="C9" s="13">
        <v>6000</v>
      </c>
      <c r="D9" s="39">
        <v>2934.18</v>
      </c>
      <c r="E9" s="86"/>
      <c r="F9" s="55"/>
      <c r="G9" s="55"/>
    </row>
    <row r="10" spans="1:7" s="1" customFormat="1" ht="18" customHeight="1" thickBot="1">
      <c r="A10" s="311"/>
      <c r="B10" s="29" t="s">
        <v>5</v>
      </c>
      <c r="C10" s="21">
        <v>2694650</v>
      </c>
      <c r="D10" s="38">
        <v>903673.59</v>
      </c>
      <c r="E10" s="85"/>
      <c r="F10" s="80"/>
      <c r="G10" s="80"/>
    </row>
    <row r="11" spans="1:7" s="1" customFormat="1" ht="29.25" customHeight="1" thickBot="1">
      <c r="A11" s="3" t="s">
        <v>9</v>
      </c>
      <c r="B11" s="5" t="s">
        <v>10</v>
      </c>
      <c r="C11" s="4">
        <f>C9+C10</f>
        <v>2700650</v>
      </c>
      <c r="D11" s="8">
        <f>D9+D10</f>
        <v>906607.77</v>
      </c>
      <c r="E11" s="9">
        <f>E9+E10</f>
        <v>0</v>
      </c>
      <c r="F11" s="9">
        <f>F9+F10</f>
        <v>0</v>
      </c>
      <c r="G11" s="9">
        <f>G9+G10</f>
        <v>0</v>
      </c>
    </row>
    <row r="12" spans="1:7" s="1" customFormat="1" ht="23.25" customHeight="1">
      <c r="A12" s="310" t="s">
        <v>7</v>
      </c>
      <c r="B12" s="7" t="s">
        <v>24</v>
      </c>
      <c r="C12" s="13">
        <v>0</v>
      </c>
      <c r="D12" s="40">
        <v>0</v>
      </c>
      <c r="E12" s="86"/>
      <c r="F12" s="55"/>
      <c r="G12" s="55"/>
    </row>
    <row r="13" spans="1:7" s="1" customFormat="1" ht="19.5" customHeight="1">
      <c r="A13" s="310"/>
      <c r="B13" s="7" t="s">
        <v>30</v>
      </c>
      <c r="C13" s="13">
        <v>22070</v>
      </c>
      <c r="D13" s="40">
        <v>5023.42</v>
      </c>
      <c r="E13" s="62"/>
      <c r="F13" s="54"/>
      <c r="G13" s="54"/>
    </row>
    <row r="14" spans="1:7" s="1" customFormat="1" ht="20.25" customHeight="1" thickBot="1">
      <c r="A14" s="310"/>
      <c r="B14" s="29" t="s">
        <v>31</v>
      </c>
      <c r="C14" s="22">
        <v>270170</v>
      </c>
      <c r="D14" s="41">
        <v>90305.53</v>
      </c>
      <c r="E14" s="85"/>
      <c r="F14" s="80"/>
      <c r="G14" s="80"/>
    </row>
    <row r="15" spans="1:7" s="1" customFormat="1" ht="28.5" customHeight="1" thickBot="1">
      <c r="A15" s="3" t="s">
        <v>9</v>
      </c>
      <c r="B15" s="5" t="s">
        <v>12</v>
      </c>
      <c r="C15" s="4">
        <f>C13+C14</f>
        <v>292240</v>
      </c>
      <c r="D15" s="8">
        <f>D13+D14</f>
        <v>95328.95</v>
      </c>
      <c r="E15" s="9">
        <f>E13+E14</f>
        <v>0</v>
      </c>
      <c r="F15" s="9">
        <f>F13+F14</f>
        <v>0</v>
      </c>
      <c r="G15" s="9">
        <f>G13+G14</f>
        <v>0</v>
      </c>
    </row>
    <row r="16" spans="1:7" s="1" customFormat="1" ht="23.25" customHeight="1" thickBot="1">
      <c r="A16" s="307" t="s">
        <v>11</v>
      </c>
      <c r="B16" s="308"/>
      <c r="C16" s="4">
        <f>C11+C12+C15</f>
        <v>2992890</v>
      </c>
      <c r="D16" s="8">
        <f>D11+D12+D15</f>
        <v>1001936.72</v>
      </c>
      <c r="E16" s="77">
        <f>E11+E12+E15</f>
        <v>0</v>
      </c>
      <c r="F16" s="77">
        <f>F11+F12+F15</f>
        <v>0</v>
      </c>
      <c r="G16" s="87">
        <f>G11+G12+G15</f>
        <v>0</v>
      </c>
    </row>
    <row r="17" spans="1:7" s="1" customFormat="1" ht="18" customHeight="1">
      <c r="A17" s="309" t="s">
        <v>43</v>
      </c>
      <c r="B17" s="7" t="s">
        <v>13</v>
      </c>
      <c r="C17" s="13">
        <v>3400</v>
      </c>
      <c r="D17" s="39">
        <v>4513.37</v>
      </c>
      <c r="E17" s="86"/>
      <c r="F17" s="55"/>
      <c r="G17" s="55"/>
    </row>
    <row r="18" spans="1:7" s="1" customFormat="1" ht="18" customHeight="1" thickBot="1">
      <c r="A18" s="311"/>
      <c r="B18" s="29" t="s">
        <v>14</v>
      </c>
      <c r="C18" s="22">
        <v>25260</v>
      </c>
      <c r="D18" s="42">
        <v>8338.97</v>
      </c>
      <c r="E18" s="85"/>
      <c r="F18" s="80"/>
      <c r="G18" s="80"/>
    </row>
    <row r="19" spans="1:7" s="1" customFormat="1" ht="19.5" customHeight="1" thickBot="1">
      <c r="A19" s="307" t="s">
        <v>15</v>
      </c>
      <c r="B19" s="308"/>
      <c r="C19" s="4">
        <f>C17+C18</f>
        <v>28660</v>
      </c>
      <c r="D19" s="8">
        <f>D17+D18</f>
        <v>12852.34</v>
      </c>
      <c r="E19" s="9">
        <f>E17+E18</f>
        <v>0</v>
      </c>
      <c r="F19" s="9">
        <f>F17+F18</f>
        <v>0</v>
      </c>
      <c r="G19" s="9">
        <f>G17+G18</f>
        <v>0</v>
      </c>
    </row>
    <row r="20" spans="1:7" s="1" customFormat="1" ht="18" customHeight="1">
      <c r="A20" s="309" t="s">
        <v>40</v>
      </c>
      <c r="B20" s="7" t="s">
        <v>0</v>
      </c>
      <c r="C20" s="13">
        <v>6930</v>
      </c>
      <c r="D20" s="39">
        <v>2630.26</v>
      </c>
      <c r="E20" s="86"/>
      <c r="F20" s="55"/>
      <c r="G20" s="55"/>
    </row>
    <row r="21" spans="1:7" s="1" customFormat="1" ht="19.5" customHeight="1">
      <c r="A21" s="310"/>
      <c r="B21" s="32" t="s">
        <v>33</v>
      </c>
      <c r="C21" s="22">
        <v>293790</v>
      </c>
      <c r="D21" s="38">
        <v>104154.1</v>
      </c>
      <c r="E21" s="62"/>
      <c r="F21" s="54"/>
      <c r="G21" s="54"/>
    </row>
    <row r="22" spans="1:7" s="1" customFormat="1" ht="15.75" customHeight="1">
      <c r="A22" s="310"/>
      <c r="B22" s="33" t="s">
        <v>34</v>
      </c>
      <c r="C22" s="23">
        <v>14970</v>
      </c>
      <c r="D22" s="37">
        <v>6080.2</v>
      </c>
      <c r="E22" s="62"/>
      <c r="F22" s="54"/>
      <c r="G22" s="54"/>
    </row>
    <row r="23" spans="1:7" s="1" customFormat="1" ht="21.75" customHeight="1" thickBot="1">
      <c r="A23" s="311"/>
      <c r="B23" s="32" t="s">
        <v>16</v>
      </c>
      <c r="C23" s="22">
        <v>75570</v>
      </c>
      <c r="D23" s="42">
        <v>28636.31</v>
      </c>
      <c r="E23" s="85"/>
      <c r="F23" s="80"/>
      <c r="G23" s="80"/>
    </row>
    <row r="24" spans="1:7" s="1" customFormat="1" ht="19.5" customHeight="1" thickBot="1">
      <c r="A24" s="307" t="s">
        <v>17</v>
      </c>
      <c r="B24" s="308"/>
      <c r="C24" s="4">
        <f>C20+C21+C22+C23</f>
        <v>391260</v>
      </c>
      <c r="D24" s="8">
        <f>D20+D21+D22+D23</f>
        <v>141500.87</v>
      </c>
      <c r="E24" s="9">
        <f>E20+E21+E22+E23</f>
        <v>0</v>
      </c>
      <c r="F24" s="9">
        <f>F20+F21+F22+F23</f>
        <v>0</v>
      </c>
      <c r="G24" s="9">
        <f>G20+G21+G22+G23</f>
        <v>0</v>
      </c>
    </row>
    <row r="25" spans="1:7" s="1" customFormat="1" ht="17.25" customHeight="1">
      <c r="A25" s="309" t="s">
        <v>18</v>
      </c>
      <c r="B25" s="7" t="s">
        <v>26</v>
      </c>
      <c r="C25" s="13">
        <v>0</v>
      </c>
      <c r="D25" s="39">
        <v>0</v>
      </c>
      <c r="E25" s="86"/>
      <c r="F25" s="55"/>
      <c r="G25" s="55"/>
    </row>
    <row r="26" spans="1:7" s="1" customFormat="1" ht="17.25" customHeight="1">
      <c r="A26" s="310"/>
      <c r="B26" s="7" t="s">
        <v>25</v>
      </c>
      <c r="C26" s="13">
        <v>20540</v>
      </c>
      <c r="D26" s="39">
        <v>7114.36</v>
      </c>
      <c r="E26" s="62"/>
      <c r="F26" s="54"/>
      <c r="G26" s="54"/>
    </row>
    <row r="27" spans="1:7" s="1" customFormat="1" ht="17.25" customHeight="1" thickBot="1">
      <c r="A27" s="310"/>
      <c r="B27" s="29" t="s">
        <v>27</v>
      </c>
      <c r="C27" s="13">
        <v>130</v>
      </c>
      <c r="D27" s="37">
        <v>47.14</v>
      </c>
      <c r="E27" s="85"/>
      <c r="F27" s="80"/>
      <c r="G27" s="80"/>
    </row>
    <row r="28" spans="1:7" s="1" customFormat="1" ht="19.5" customHeight="1" thickBot="1">
      <c r="A28" s="312" t="s">
        <v>19</v>
      </c>
      <c r="B28" s="313"/>
      <c r="C28" s="4">
        <f>C25+C26+C27</f>
        <v>20670</v>
      </c>
      <c r="D28" s="4">
        <f>D25+D26+D27</f>
        <v>7161.5</v>
      </c>
      <c r="E28" s="81">
        <f>E25+E26+E27</f>
        <v>0</v>
      </c>
      <c r="F28" s="81">
        <f>F25+F26+F27</f>
        <v>0</v>
      </c>
      <c r="G28" s="81">
        <f>G25+G26+G27</f>
        <v>0</v>
      </c>
    </row>
    <row r="29" spans="1:7" s="1" customFormat="1" ht="21.75" customHeight="1" thickBot="1">
      <c r="A29" s="312" t="s">
        <v>28</v>
      </c>
      <c r="B29" s="313"/>
      <c r="C29" s="35">
        <v>192380</v>
      </c>
      <c r="D29" s="43">
        <v>63426.68</v>
      </c>
      <c r="E29" s="83"/>
      <c r="F29" s="84"/>
      <c r="G29" s="88"/>
    </row>
    <row r="30" spans="1:7" s="1" customFormat="1" ht="21" customHeight="1" thickBot="1">
      <c r="A30" s="312" t="s">
        <v>29</v>
      </c>
      <c r="B30" s="313"/>
      <c r="C30" s="35">
        <v>82620</v>
      </c>
      <c r="D30" s="43">
        <v>27854.85</v>
      </c>
      <c r="E30" s="53"/>
      <c r="F30" s="56"/>
      <c r="G30" s="67"/>
    </row>
    <row r="31" spans="1:7" s="1" customFormat="1" ht="42" customHeight="1" thickBot="1">
      <c r="A31" s="321" t="s">
        <v>46</v>
      </c>
      <c r="B31" s="322"/>
      <c r="C31" s="35">
        <v>4925451</v>
      </c>
      <c r="D31" s="43">
        <v>1511833</v>
      </c>
      <c r="E31" s="57"/>
      <c r="F31" s="58"/>
      <c r="G31" s="70"/>
    </row>
    <row r="32" spans="1:7" s="1" customFormat="1" ht="21.75" customHeight="1" thickBot="1">
      <c r="A32" s="307" t="s">
        <v>44</v>
      </c>
      <c r="B32" s="323"/>
      <c r="C32" s="35">
        <v>10740</v>
      </c>
      <c r="D32" s="43">
        <v>3651.36</v>
      </c>
      <c r="E32" s="89"/>
      <c r="F32" s="82"/>
      <c r="G32" s="82"/>
    </row>
    <row r="33" spans="1:7" s="1" customFormat="1" ht="26.25" customHeight="1" thickBot="1">
      <c r="A33" s="307" t="s">
        <v>45</v>
      </c>
      <c r="B33" s="323"/>
      <c r="C33" s="35">
        <v>440</v>
      </c>
      <c r="D33" s="43">
        <v>272</v>
      </c>
      <c r="E33" s="64">
        <f>E8+E16+E19+E24+E28+E29+E30+E31+E32</f>
        <v>0</v>
      </c>
      <c r="F33" s="65">
        <f>F8+F16+F19+F24+F28+F29+F30+F31+F32</f>
        <v>0</v>
      </c>
      <c r="G33" s="65">
        <f>G8+G16+G19+G24+G28+G29+G30+G31+G32</f>
        <v>0</v>
      </c>
    </row>
    <row r="34" spans="1:7" s="1" customFormat="1" ht="23.25" customHeight="1" thickBot="1">
      <c r="A34" s="315" t="s">
        <v>23</v>
      </c>
      <c r="B34" s="316"/>
      <c r="C34" s="36">
        <f>C8+C16+C19+C24+C28+C29+C30+C31+C32</f>
        <v>14361371</v>
      </c>
      <c r="D34" s="36">
        <f>D8+D16+D19+D24+D28+D29+D30+D31+D32</f>
        <v>4580893.340000001</v>
      </c>
      <c r="E34" s="59">
        <f>E8+E11+E19+E24+E28+E29</f>
        <v>0</v>
      </c>
      <c r="F34" s="59">
        <f>F8+F11+F19+F24+F28+F29</f>
        <v>0</v>
      </c>
      <c r="G34" s="59">
        <f>G8+G11+G19+G24+G28+G29</f>
        <v>0</v>
      </c>
    </row>
    <row r="35" spans="1:7" s="12" customFormat="1" ht="16.5" customHeight="1" thickBot="1">
      <c r="A35" s="2" t="s">
        <v>20</v>
      </c>
      <c r="B35" s="6" t="s">
        <v>32</v>
      </c>
      <c r="C35" s="14">
        <f>C8+C11+C19+C24+C28+C29</f>
        <v>9050320</v>
      </c>
      <c r="D35" s="14">
        <f>D8+D11+D19+D24+D28+D29</f>
        <v>2942225.18</v>
      </c>
      <c r="E35" s="60">
        <f>E12+E13+E14+E30</f>
        <v>0</v>
      </c>
      <c r="F35" s="60">
        <f>F12+F13+F14+F30</f>
        <v>0</v>
      </c>
      <c r="G35" s="60">
        <f>G12+G13+G14+G30</f>
        <v>0</v>
      </c>
    </row>
    <row r="36" spans="1:7" s="12" customFormat="1" ht="17.25" customHeight="1" thickBot="1">
      <c r="A36" s="16"/>
      <c r="B36" s="17" t="s">
        <v>21</v>
      </c>
      <c r="C36" s="18">
        <f>C12+C13+C14+C30</f>
        <v>374860</v>
      </c>
      <c r="D36" s="18">
        <f>D12+D13+D14+D30</f>
        <v>123183.79999999999</v>
      </c>
      <c r="E36" s="52"/>
      <c r="F36" s="52"/>
      <c r="G36" s="52"/>
    </row>
    <row r="37" spans="1:7" s="12" customFormat="1" ht="18" customHeight="1">
      <c r="A37" s="30"/>
      <c r="B37" s="31" t="s">
        <v>20</v>
      </c>
      <c r="C37" s="24"/>
      <c r="D37" s="24"/>
      <c r="E37" s="73">
        <f>E5+E9+E12+E19+E21+E26+E27+E30+E31+E32</f>
        <v>0</v>
      </c>
      <c r="F37" s="73">
        <f>F5+F9+F12+F19+F21+F26+F27+F30+F31+F32</f>
        <v>0</v>
      </c>
      <c r="G37" s="73">
        <f>G5+G9+G12+G19+G21+G26+G27+G30+G31+G32</f>
        <v>0</v>
      </c>
    </row>
    <row r="38" spans="2:7" ht="18.75" customHeight="1" thickBot="1">
      <c r="B38" s="92" t="s">
        <v>48</v>
      </c>
      <c r="C38" s="92">
        <f>C5+C9+C12+C19+C21+C28+C30+C32</f>
        <v>3286460</v>
      </c>
      <c r="D38" s="92">
        <f>D5+D9+D12+D19+D21+D28+D30+D32</f>
        <v>1151507.6000000003</v>
      </c>
      <c r="E38" s="74">
        <f>E6+E10+E13+E14+E20+E22+E23+E25+E29+E7</f>
        <v>0</v>
      </c>
      <c r="F38" s="74">
        <f>F6+F10+F13+F14+F20+F22+F23+F25+F29+F7</f>
        <v>0</v>
      </c>
      <c r="G38" s="74">
        <f>G6+G10+G13+G14+G20+G22+G23+G25+G29+G7</f>
        <v>0</v>
      </c>
    </row>
    <row r="39" spans="2:7" ht="16.5" customHeight="1" thickBot="1">
      <c r="B39" s="93" t="s">
        <v>22</v>
      </c>
      <c r="C39" s="92">
        <f>C6+C10+C13+C14+C20+C22+C23+C29</f>
        <v>5826740</v>
      </c>
      <c r="D39" s="92">
        <f>D6+D10+D13+D14+D20+D22+D23+D29</f>
        <v>1917552.7399999998</v>
      </c>
      <c r="E39" s="75">
        <f>E37+E38</f>
        <v>0</v>
      </c>
      <c r="F39" s="75">
        <f>F37+F38</f>
        <v>0</v>
      </c>
      <c r="G39" s="75">
        <f>G37+G38</f>
        <v>0</v>
      </c>
    </row>
    <row r="40" spans="1:7" s="91" customFormat="1" ht="19.5" customHeight="1" thickBot="1">
      <c r="A40" s="90"/>
      <c r="B40" s="31"/>
      <c r="C40" s="24"/>
      <c r="D40" s="75"/>
      <c r="E40" s="66">
        <f>E5+E9+E12+E19+E21+E26+E27+E30</f>
        <v>0</v>
      </c>
      <c r="F40" s="66">
        <f>F5+F9+F12+F19+F21+F26+F27+F30</f>
        <v>0</v>
      </c>
      <c r="G40" s="66">
        <f>G5+G9+G12+G19+G21+G26+G27+G30</f>
        <v>0</v>
      </c>
    </row>
    <row r="41" spans="1:7" s="15" customFormat="1" ht="23.25" customHeight="1" thickBot="1">
      <c r="A41" s="317" t="s">
        <v>35</v>
      </c>
      <c r="B41" s="318"/>
      <c r="C41" s="44">
        <f>C38-C32</f>
        <v>3275720</v>
      </c>
      <c r="D41" s="44">
        <f>D38-D32</f>
        <v>1147856.2400000002</v>
      </c>
      <c r="E41" s="78">
        <f>E32+E40</f>
        <v>0</v>
      </c>
      <c r="F41" s="78">
        <f>F32+F40</f>
        <v>0</v>
      </c>
      <c r="G41" s="78">
        <f>G32+G40</f>
        <v>0</v>
      </c>
    </row>
    <row r="42" spans="1:7" s="34" customFormat="1" ht="24" customHeight="1" thickBot="1">
      <c r="A42" s="314" t="s">
        <v>47</v>
      </c>
      <c r="B42" s="314"/>
      <c r="C42" s="314"/>
      <c r="D42" s="314"/>
      <c r="E42" s="79">
        <f>E40+E32</f>
        <v>0</v>
      </c>
      <c r="F42" s="79">
        <f>F40+F32</f>
        <v>0</v>
      </c>
      <c r="G42" s="79">
        <f>G40+G32</f>
        <v>0</v>
      </c>
    </row>
  </sheetData>
  <mergeCells count="20">
    <mergeCell ref="A31:B31"/>
    <mergeCell ref="A33:B33"/>
    <mergeCell ref="A24:B24"/>
    <mergeCell ref="A25:A27"/>
    <mergeCell ref="A42:D42"/>
    <mergeCell ref="A3:D3"/>
    <mergeCell ref="A32:B32"/>
    <mergeCell ref="A34:B34"/>
    <mergeCell ref="A41:B41"/>
    <mergeCell ref="A28:B28"/>
    <mergeCell ref="A29:B29"/>
    <mergeCell ref="A30:B30"/>
    <mergeCell ref="A17:A18"/>
    <mergeCell ref="A8:B8"/>
    <mergeCell ref="A19:B19"/>
    <mergeCell ref="A20:A23"/>
    <mergeCell ref="A5:A6"/>
    <mergeCell ref="A9:A10"/>
    <mergeCell ref="A12:A14"/>
    <mergeCell ref="A16:B16"/>
  </mergeCells>
  <printOptions/>
  <pageMargins left="1.6" right="0" top="0.24" bottom="0.23" header="0.9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2017-03-31T15:30:30Z</cp:lastPrinted>
  <dcterms:created xsi:type="dcterms:W3CDTF">2011-03-01T10:10:47Z</dcterms:created>
  <dcterms:modified xsi:type="dcterms:W3CDTF">2017-04-04T06:44:51Z</dcterms:modified>
  <cp:category/>
  <cp:version/>
  <cp:contentType/>
  <cp:contentStatus/>
</cp:coreProperties>
</file>